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100043492\Desktop\"/>
    </mc:Choice>
  </mc:AlternateContent>
  <xr:revisionPtr revIDLastSave="0" documentId="13_ncr:1_{5AF29EF3-7047-4873-85AB-97365CEEA04C}" xr6:coauthVersionLast="45" xr6:coauthVersionMax="45" xr10:uidLastSave="{00000000-0000-0000-0000-000000000000}"/>
  <workbookProtection workbookAlgorithmName="SHA-512" workbookHashValue="e/co9HqqysfbloAmlQRS1cL7SB8Msfbz0MXPqpB+JYTDwaqG4OWNhdbWHOnWuCAolqmdN/KSmYH/03ji/0JCYg==" workbookSaltValue="z4uLGEsYd7jTva5fNCuSNw==" workbookSpinCount="100000" lockStructure="1" lockWindows="1"/>
  <bookViews>
    <workbookView xWindow="-120" yWindow="-120" windowWidth="29040" windowHeight="15840" xr2:uid="{00000000-000D-0000-FFFF-FFFF00000000}"/>
  </bookViews>
  <sheets>
    <sheet name="front" sheetId="1" r:id="rId1"/>
    <sheet name="calcoli" sheetId="2" state="hidden" r:id="rId2"/>
    <sheet name="Calcoli Grafici" sheetId="7" state="hidden" r:id="rId3"/>
    <sheet name="50HZ" sheetId="10" state="hidden" r:id="rId4"/>
    <sheet name="60HZ" sheetId="11" state="hidden" r:id="rId5"/>
  </sheets>
  <definedNames>
    <definedName name="_xlnm._FilterDatabase" localSheetId="0" hidden="1">front!$G$16:$I$17</definedName>
    <definedName name="_xlnm.Print_Area" localSheetId="0">front!$A$1:$Q$151</definedName>
    <definedName name="ENERGY">'50HZ'!$U$5:$U$13</definedName>
    <definedName name="Excel_BuiltIn_Database">#REF!</definedName>
    <definedName name="POLES">'50HZ'!$S$5:$S$13</definedName>
    <definedName name="POWER">'50HZ'!$A$11:$A$32</definedName>
    <definedName name="POWER60">'60HZ'!$C$13:$C$33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7" i="2" l="1"/>
  <c r="H51" i="11"/>
  <c r="M48" i="11"/>
  <c r="H48" i="11"/>
  <c r="M46" i="10"/>
  <c r="H46" i="10"/>
  <c r="H49" i="10"/>
  <c r="H39" i="10"/>
  <c r="F15" i="2"/>
  <c r="F13" i="2"/>
  <c r="F11" i="2"/>
  <c r="J11" i="2"/>
  <c r="L9" i="2"/>
  <c r="J9" i="2"/>
  <c r="F9" i="2"/>
  <c r="N43" i="11" l="1"/>
  <c r="N41" i="11"/>
  <c r="H45" i="11"/>
  <c r="H43" i="11"/>
  <c r="H41" i="11"/>
  <c r="N41" i="10" l="1"/>
  <c r="N39" i="10"/>
  <c r="H43" i="10"/>
  <c r="H41" i="10"/>
  <c r="J38" i="10"/>
  <c r="J50" i="11"/>
  <c r="J47" i="11"/>
  <c r="J40" i="11"/>
  <c r="J48" i="10"/>
  <c r="J45" i="10"/>
  <c r="K32" i="1"/>
  <c r="G32" i="1"/>
  <c r="L53" i="10" l="1"/>
  <c r="V38" i="10" s="1"/>
  <c r="L55" i="11"/>
  <c r="V40" i="11" s="1"/>
  <c r="D56" i="1"/>
  <c r="H55" i="11"/>
  <c r="R40" i="11" s="1"/>
  <c r="H53" i="10"/>
  <c r="B52" i="1"/>
  <c r="D54" i="1"/>
  <c r="B50" i="7"/>
  <c r="K34" i="1" l="1"/>
  <c r="K36" i="1" s="1"/>
  <c r="R38" i="10"/>
  <c r="H46" i="7"/>
  <c r="G46" i="7"/>
  <c r="B51" i="7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29" i="7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G34" i="1" l="1"/>
  <c r="C48" i="7" s="1"/>
  <c r="E37" i="2"/>
  <c r="H37" i="2"/>
  <c r="G36" i="1" l="1"/>
  <c r="C41" i="7"/>
  <c r="C47" i="7"/>
  <c r="B5" i="7"/>
  <c r="J36" i="1"/>
  <c r="B6" i="7" l="1"/>
  <c r="I13" i="1"/>
  <c r="I16" i="1"/>
  <c r="I27" i="1"/>
  <c r="B40" i="1"/>
  <c r="K42" i="1"/>
  <c r="O36" i="1"/>
  <c r="H38" i="2"/>
  <c r="H32" i="2"/>
  <c r="H31" i="2"/>
  <c r="F38" i="2"/>
  <c r="E38" i="2"/>
  <c r="D38" i="2"/>
  <c r="F37" i="2"/>
  <c r="D37" i="2"/>
  <c r="F32" i="2"/>
  <c r="E32" i="2"/>
  <c r="D32" i="2"/>
  <c r="F31" i="2"/>
  <c r="E31" i="2"/>
  <c r="D31" i="2"/>
  <c r="AI26" i="2"/>
  <c r="AH26" i="2"/>
  <c r="AG26" i="2"/>
  <c r="AI21" i="2"/>
  <c r="AH21" i="2"/>
  <c r="AG21" i="2"/>
  <c r="B7" i="7" l="1"/>
  <c r="W32" i="1"/>
  <c r="V32" i="1"/>
  <c r="O13" i="2"/>
  <c r="N17" i="2"/>
  <c r="C6" i="7" l="1"/>
  <c r="C49" i="7"/>
  <c r="D6" i="7"/>
  <c r="D49" i="7"/>
  <c r="D48" i="7"/>
  <c r="K38" i="1"/>
  <c r="D58" i="7"/>
  <c r="D51" i="7"/>
  <c r="D47" i="7"/>
  <c r="D52" i="7"/>
  <c r="D55" i="7"/>
  <c r="D41" i="7"/>
  <c r="D38" i="7"/>
  <c r="D30" i="7"/>
  <c r="D63" i="7"/>
  <c r="D37" i="7"/>
  <c r="D66" i="7"/>
  <c r="D61" i="7"/>
  <c r="D31" i="7"/>
  <c r="D40" i="7"/>
  <c r="D42" i="7"/>
  <c r="D50" i="7"/>
  <c r="D62" i="7"/>
  <c r="D65" i="7"/>
  <c r="D64" i="7"/>
  <c r="D67" i="7"/>
  <c r="D35" i="7"/>
  <c r="D33" i="7"/>
  <c r="D36" i="7"/>
  <c r="D28" i="7"/>
  <c r="D57" i="7"/>
  <c r="D60" i="7"/>
  <c r="D39" i="7"/>
  <c r="D34" i="7"/>
  <c r="D54" i="7"/>
  <c r="D53" i="7"/>
  <c r="D56" i="7"/>
  <c r="D59" i="7"/>
  <c r="D29" i="7"/>
  <c r="D32" i="7"/>
  <c r="D4" i="7"/>
  <c r="D5" i="7"/>
  <c r="C63" i="7"/>
  <c r="C51" i="7"/>
  <c r="C59" i="7"/>
  <c r="C65" i="7"/>
  <c r="C50" i="7"/>
  <c r="C52" i="7"/>
  <c r="C42" i="7"/>
  <c r="C34" i="7"/>
  <c r="C33" i="7"/>
  <c r="C67" i="7"/>
  <c r="C66" i="7"/>
  <c r="C57" i="7"/>
  <c r="C54" i="7"/>
  <c r="C30" i="7"/>
  <c r="C29" i="7"/>
  <c r="C58" i="7"/>
  <c r="C53" i="7"/>
  <c r="C36" i="7"/>
  <c r="C61" i="7"/>
  <c r="C62" i="7"/>
  <c r="C64" i="7"/>
  <c r="C40" i="7"/>
  <c r="C32" i="7"/>
  <c r="C39" i="7"/>
  <c r="C31" i="7"/>
  <c r="C55" i="7"/>
  <c r="C60" i="7"/>
  <c r="C38" i="7"/>
  <c r="C37" i="7"/>
  <c r="C56" i="7"/>
  <c r="C28" i="7"/>
  <c r="C35" i="7"/>
  <c r="C4" i="7"/>
  <c r="C5" i="7"/>
  <c r="D7" i="7"/>
  <c r="C7" i="7"/>
  <c r="B8" i="7"/>
  <c r="E65" i="7" l="1"/>
  <c r="E60" i="7"/>
  <c r="E59" i="7"/>
  <c r="E32" i="7"/>
  <c r="E55" i="7"/>
  <c r="E39" i="7"/>
  <c r="E38" i="7"/>
  <c r="E52" i="7"/>
  <c r="E6" i="7"/>
  <c r="E49" i="7"/>
  <c r="E48" i="7"/>
  <c r="E61" i="7"/>
  <c r="E28" i="7"/>
  <c r="E34" i="7"/>
  <c r="E29" i="7"/>
  <c r="E5" i="7"/>
  <c r="E30" i="7"/>
  <c r="E50" i="7"/>
  <c r="E35" i="7"/>
  <c r="E62" i="7"/>
  <c r="E58" i="7"/>
  <c r="E57" i="7"/>
  <c r="E41" i="7"/>
  <c r="E51" i="7"/>
  <c r="E40" i="7"/>
  <c r="E37" i="7"/>
  <c r="E31" i="7"/>
  <c r="E33" i="7"/>
  <c r="E67" i="7"/>
  <c r="E53" i="7"/>
  <c r="E54" i="7"/>
  <c r="E66" i="7"/>
  <c r="E56" i="7"/>
  <c r="E36" i="7"/>
  <c r="E42" i="7"/>
  <c r="E47" i="7"/>
  <c r="E63" i="7"/>
  <c r="E7" i="7"/>
  <c r="E4" i="7"/>
  <c r="E64" i="7"/>
  <c r="D8" i="7"/>
  <c r="B9" i="7"/>
  <c r="C8" i="7"/>
  <c r="G38" i="1"/>
  <c r="H59" i="1" s="1"/>
  <c r="G48" i="1"/>
  <c r="K48" i="1" s="1"/>
  <c r="G44" i="1"/>
  <c r="K44" i="1" s="1"/>
  <c r="I2" i="7" l="1"/>
  <c r="I3" i="7"/>
  <c r="E8" i="7"/>
  <c r="B10" i="7"/>
  <c r="C9" i="7"/>
  <c r="D9" i="7"/>
  <c r="G46" i="1"/>
  <c r="K46" i="1" s="1"/>
  <c r="U19" i="2"/>
  <c r="E9" i="7" l="1"/>
  <c r="B11" i="7"/>
  <c r="D10" i="7"/>
  <c r="C10" i="7"/>
  <c r="G19" i="2"/>
  <c r="G21" i="2" s="1"/>
  <c r="H21" i="2"/>
  <c r="K21" i="2"/>
  <c r="E10" i="7" l="1"/>
  <c r="D11" i="7"/>
  <c r="B12" i="7"/>
  <c r="C11" i="7"/>
  <c r="J19" i="2"/>
  <c r="G23" i="2"/>
  <c r="E11" i="7" l="1"/>
  <c r="D12" i="7"/>
  <c r="B13" i="7"/>
  <c r="C12" i="7"/>
  <c r="J21" i="2"/>
  <c r="Q24" i="2" s="1"/>
  <c r="E12" i="7" l="1"/>
  <c r="B14" i="7"/>
  <c r="C13" i="7"/>
  <c r="D13" i="7"/>
  <c r="J23" i="2"/>
  <c r="Q22" i="2" s="1"/>
  <c r="U22" i="2" s="1"/>
  <c r="U24" i="2"/>
  <c r="Q20" i="2"/>
  <c r="U20" i="2" s="1"/>
  <c r="E13" i="7" l="1"/>
  <c r="C14" i="7"/>
  <c r="D14" i="7"/>
  <c r="B15" i="7"/>
  <c r="E14" i="7" l="1"/>
  <c r="C15" i="7"/>
  <c r="B16" i="7"/>
  <c r="D15" i="7"/>
  <c r="E15" i="7" l="1"/>
  <c r="B17" i="7"/>
  <c r="C16" i="7"/>
  <c r="D16" i="7"/>
  <c r="E16" i="7" l="1"/>
  <c r="B18" i="7"/>
  <c r="D17" i="7"/>
  <c r="C17" i="7"/>
  <c r="E17" i="7" l="1"/>
  <c r="B19" i="7"/>
  <c r="C18" i="7"/>
  <c r="D18" i="7"/>
  <c r="E18" i="7" l="1"/>
  <c r="B20" i="7"/>
  <c r="C19" i="7"/>
  <c r="D19" i="7"/>
  <c r="E19" i="7" l="1"/>
  <c r="B21" i="7"/>
  <c r="D20" i="7"/>
  <c r="C20" i="7"/>
  <c r="E20" i="7" l="1"/>
  <c r="B22" i="7"/>
  <c r="C21" i="7"/>
  <c r="D21" i="7"/>
  <c r="E21" i="7" l="1"/>
  <c r="B23" i="7"/>
  <c r="C22" i="7"/>
  <c r="D22" i="7"/>
  <c r="E22" i="7" l="1"/>
  <c r="B24" i="7"/>
  <c r="C23" i="7"/>
  <c r="D23" i="7"/>
  <c r="E23" i="7" l="1"/>
  <c r="C24" i="7"/>
  <c r="D24" i="7"/>
  <c r="E24" i="7" l="1"/>
</calcChain>
</file>

<file path=xl/sharedStrings.xml><?xml version="1.0" encoding="utf-8"?>
<sst xmlns="http://schemas.openxmlformats.org/spreadsheetml/2006/main" count="241" uniqueCount="114">
  <si>
    <t xml:space="preserve">INCREMENT ENERGY </t>
  </si>
  <si>
    <t>DECREMENT COST</t>
  </si>
  <si>
    <t>ENERGY COST</t>
  </si>
  <si>
    <t>OUTPUT POWER:</t>
  </si>
  <si>
    <t>USE :</t>
  </si>
  <si>
    <t>ENERGY COST:</t>
  </si>
  <si>
    <t>hours/day</t>
  </si>
  <si>
    <t>hours/years</t>
  </si>
  <si>
    <t>INPUT</t>
  </si>
  <si>
    <t>OUTPUT</t>
  </si>
  <si>
    <t>EFFICIENCY CLASS</t>
  </si>
  <si>
    <t>ENERGY CONSUMPTION</t>
  </si>
  <si>
    <t>kWh</t>
  </si>
  <si>
    <t>€</t>
  </si>
  <si>
    <t>%    IE1</t>
  </si>
  <si>
    <t>%  IE2</t>
  </si>
  <si>
    <t>euro</t>
  </si>
  <si>
    <t xml:space="preserve">poli </t>
  </si>
  <si>
    <t xml:space="preserve">kW </t>
  </si>
  <si>
    <t>IE2</t>
  </si>
  <si>
    <t>2 poli -50hZ</t>
  </si>
  <si>
    <t>2poli 60hZ</t>
  </si>
  <si>
    <t>4 poli - 50Hz</t>
  </si>
  <si>
    <t>-</t>
  </si>
  <si>
    <t>4 poli - 60hZ</t>
  </si>
  <si>
    <t>6 poli - 50Hz</t>
  </si>
  <si>
    <t>6 poli - 60Hz</t>
  </si>
  <si>
    <t>frequenza</t>
  </si>
  <si>
    <t>IE1</t>
  </si>
  <si>
    <t>Hz</t>
  </si>
  <si>
    <t>poli</t>
  </si>
  <si>
    <t>2 POLI</t>
  </si>
  <si>
    <t>4 POLI</t>
  </si>
  <si>
    <t>6 POLI</t>
  </si>
  <si>
    <t>A</t>
  </si>
  <si>
    <t>B</t>
  </si>
  <si>
    <t>C</t>
  </si>
  <si>
    <t>D</t>
  </si>
  <si>
    <t>riga</t>
  </si>
  <si>
    <t>colonna</t>
  </si>
  <si>
    <t>energy</t>
  </si>
  <si>
    <t>ECO</t>
  </si>
  <si>
    <t>n° motors</t>
  </si>
  <si>
    <t>1 motor</t>
  </si>
  <si>
    <t>kg</t>
  </si>
  <si>
    <t>120€/MW/h</t>
  </si>
  <si>
    <t xml:space="preserve">QUANTITà MEDIA DI CO2 EMESSA IN ATMOSFERA PER PRODDURRE 1 kWh </t>
  </si>
  <si>
    <t>CO2  (kg)</t>
  </si>
  <si>
    <t>Tavv</t>
  </si>
  <si>
    <t>Ia/In</t>
  </si>
  <si>
    <t>N°AVV/GIORNO</t>
  </si>
  <si>
    <t>SEC</t>
  </si>
  <si>
    <t>S4 99%</t>
  </si>
  <si>
    <t>3/4</t>
  </si>
  <si>
    <t>4/4</t>
  </si>
  <si>
    <t>POLE</t>
  </si>
  <si>
    <t>FREQUENCY</t>
  </si>
  <si>
    <t>kW</t>
  </si>
  <si>
    <t>USE</t>
  </si>
  <si>
    <t>€/kWh</t>
  </si>
  <si>
    <t>EFFICIENCY COMPARE</t>
  </si>
  <si>
    <t>ENERGY</t>
  </si>
  <si>
    <t>EURO</t>
  </si>
  <si>
    <t>%</t>
  </si>
  <si>
    <t>kg of CO2</t>
  </si>
  <si>
    <t>50Hz</t>
  </si>
  <si>
    <t>ie1</t>
  </si>
  <si>
    <t>ie2</t>
  </si>
  <si>
    <t>OR</t>
  </si>
  <si>
    <t>ONE motor</t>
  </si>
  <si>
    <t>[kg]</t>
  </si>
  <si>
    <t>Notes</t>
  </si>
  <si>
    <t>(AVERAGE QUANTITY OF ATMOSPHERIC CO2 ISSUED TO PRODUCE 1 kWh)</t>
  </si>
  <si>
    <t xml:space="preserve">MOTOR QUANTITY </t>
  </si>
  <si>
    <t>POWER PER MOTOR</t>
  </si>
  <si>
    <t>IE3</t>
  </si>
  <si>
    <t>PAYBACK TIME</t>
  </si>
  <si>
    <t>Hrs/year</t>
  </si>
  <si>
    <t>Hrs/day</t>
  </si>
  <si>
    <t>ENERGY COST IE1 PER DAY</t>
  </si>
  <si>
    <t>ENERGY COST IE3 PER DAY</t>
  </si>
  <si>
    <t>ENERGY COST IE1 PER YEAR</t>
  </si>
  <si>
    <t>PAYBACK TIME MONTHS</t>
  </si>
  <si>
    <t>ENERGY COST IE3 PER YEAR</t>
  </si>
  <si>
    <t>PAYBACK TIME PER MONTHS</t>
  </si>
  <si>
    <t>MONTHS</t>
  </si>
  <si>
    <t>energy cost</t>
  </si>
  <si>
    <t>utilization</t>
  </si>
  <si>
    <t xml:space="preserve">ENERGY COST IE1 </t>
  </si>
  <si>
    <t>ENERGY COST IE3</t>
  </si>
  <si>
    <t>POWER PER MOTOR: enter the power of the motor</t>
  </si>
  <si>
    <t>IE3 NET PRICE and IE1 NET PRICE: enter CEMP motor offer value</t>
  </si>
  <si>
    <t>ENERGY ADVISOR</t>
  </si>
  <si>
    <t>IE4</t>
  </si>
  <si>
    <t>KW</t>
  </si>
  <si>
    <t>EFFICIENCY MOTOR 1</t>
  </si>
  <si>
    <t>EFFICIENCY MOTOR 2</t>
  </si>
  <si>
    <t>FILL ONLY ONE BOX</t>
  </si>
  <si>
    <t>INPUT DATA</t>
  </si>
  <si>
    <t>EFFICIENCY COMPARISON</t>
  </si>
  <si>
    <t>MOTOR QUANTITY: enter the number of motors you want to consider</t>
  </si>
  <si>
    <t>the European avarage value</t>
  </si>
  <si>
    <t>CUSTOMER:</t>
  </si>
  <si>
    <t>OFFER:</t>
  </si>
  <si>
    <t>DATE:</t>
  </si>
  <si>
    <t>USE: enter number of hours per day or number of hour per year</t>
  </si>
  <si>
    <t>ENERGY COST: enter energy cost</t>
  </si>
  <si>
    <t xml:space="preserve">(AVERAGE QUANTITY OF ATMOSPHERIC CO2 ISSUED TO PRODUCE 1 kWh): enter data or keep </t>
  </si>
  <si>
    <t>€      per motor</t>
  </si>
  <si>
    <t xml:space="preserve"> for the comparison</t>
  </si>
  <si>
    <t xml:space="preserve">LOWER EFFICIENCY CLASS </t>
  </si>
  <si>
    <t xml:space="preserve">HIGHER EFFICIENCY CLASS </t>
  </si>
  <si>
    <t>LOWER EFFICIENCY and HIGHER EFFICIENCY: choose between IE1, IE2 and IE3 efficiency class</t>
  </si>
  <si>
    <t>€ /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</si>
</sst>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€&quot;\ * #,##0.00_-;\-&quot;€&quot;\ * #,##0.00_-;_-&quot;€&quot;\ * &quot;-&quot;??_-;_-@_-"/>
    <numFmt numFmtId="165" formatCode="0.0"/>
    <numFmt numFmtId="166" formatCode="0.0000"/>
    <numFmt numFmtId="167" formatCode="_-&quot;€ &quot;* #,##0.00_-;&quot;-€ &quot;* #,##0.00_-;_-&quot;€ &quot;* \-??_-;_-@_-"/>
    <numFmt numFmtId="168" formatCode="_ * #,##0_)_L_._ ;_ * \(#,##0\)_L_._ ;_ * &quot;-&quot;_)_L_._ ;_ @_ "/>
    <numFmt numFmtId="169" formatCode="_ * #,##0_)&quot;L.&quot;_ ;_ * \(#,##0\)&quot;L.&quot;_ ;_ * &quot;-&quot;_)&quot;L.&quot;_ ;_ @_ "/>
    <numFmt numFmtId="170" formatCode="d/m"/>
  </numFmts>
  <fonts count="3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Symbol"/>
      <family val="1"/>
      <charset val="2"/>
    </font>
    <font>
      <sz val="7"/>
      <name val="Arial"/>
      <family val="2"/>
    </font>
    <font>
      <sz val="8"/>
      <color rgb="FFFF0000"/>
      <name val="Arial"/>
      <family val="2"/>
    </font>
    <font>
      <sz val="9"/>
      <color theme="3" tint="0.39997558519241921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rgb="FF249427"/>
      <name val="Arial"/>
      <family val="2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color theme="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5"/>
      <name val="Arial"/>
      <family val="2"/>
    </font>
    <font>
      <b/>
      <sz val="15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2494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3" fillId="0" borderId="0"/>
    <xf numFmtId="167" fontId="3" fillId="0" borderId="0" applyFill="0" applyBorder="0" applyAlignment="0" applyProtection="0"/>
    <xf numFmtId="168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9" fontId="3" fillId="0" borderId="0" applyFont="0" applyFill="0" applyBorder="0" applyAlignment="0" applyProtection="0"/>
  </cellStyleXfs>
  <cellXfs count="26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2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0" fillId="2" borderId="0" xfId="0" applyFill="1"/>
    <xf numFmtId="2" fontId="0" fillId="0" borderId="0" xfId="0" applyNumberFormat="1"/>
    <xf numFmtId="0" fontId="0" fillId="0" borderId="0" xfId="0" quotePrefix="1"/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0" fillId="0" borderId="0" xfId="0" applyFill="1" applyBorder="1"/>
    <xf numFmtId="165" fontId="3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19" xfId="0" applyFill="1" applyBorder="1"/>
    <xf numFmtId="0" fontId="0" fillId="0" borderId="14" xfId="0" applyBorder="1" applyAlignment="1">
      <alignment horizontal="center"/>
    </xf>
    <xf numFmtId="2" fontId="0" fillId="0" borderId="1" xfId="0" applyNumberFormat="1" applyBorder="1"/>
    <xf numFmtId="0" fontId="0" fillId="0" borderId="14" xfId="0" applyBorder="1"/>
    <xf numFmtId="0" fontId="2" fillId="0" borderId="20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165" fontId="2" fillId="0" borderId="23" xfId="1" applyNumberFormat="1" applyFont="1" applyBorder="1" applyAlignment="1">
      <alignment horizontal="center"/>
    </xf>
    <xf numFmtId="0" fontId="3" fillId="0" borderId="24" xfId="1" applyBorder="1" applyAlignment="1">
      <alignment horizontal="center"/>
    </xf>
    <xf numFmtId="0" fontId="3" fillId="0" borderId="32" xfId="1" applyBorder="1" applyAlignment="1">
      <alignment horizontal="center"/>
    </xf>
    <xf numFmtId="165" fontId="7" fillId="0" borderId="23" xfId="1" applyNumberFormat="1" applyFont="1" applyBorder="1" applyAlignment="1">
      <alignment horizontal="center"/>
    </xf>
    <xf numFmtId="165" fontId="7" fillId="0" borderId="24" xfId="1" applyNumberFormat="1" applyFont="1" applyBorder="1" applyAlignment="1">
      <alignment horizontal="center"/>
    </xf>
    <xf numFmtId="165" fontId="7" fillId="0" borderId="32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3" fillId="0" borderId="14" xfId="1" applyBorder="1" applyAlignment="1">
      <alignment horizontal="center"/>
    </xf>
    <xf numFmtId="0" fontId="3" fillId="0" borderId="15" xfId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166" fontId="3" fillId="0" borderId="14" xfId="1" applyNumberFormat="1" applyBorder="1" applyAlignment="1">
      <alignment horizontal="center"/>
    </xf>
    <xf numFmtId="166" fontId="3" fillId="0" borderId="15" xfId="1" applyNumberFormat="1" applyBorder="1" applyAlignment="1">
      <alignment horizontal="center"/>
    </xf>
    <xf numFmtId="166" fontId="7" fillId="0" borderId="13" xfId="1" applyNumberFormat="1" applyFont="1" applyBorder="1" applyAlignment="1">
      <alignment horizontal="center"/>
    </xf>
    <xf numFmtId="166" fontId="7" fillId="0" borderId="14" xfId="1" applyNumberFormat="1" applyFont="1" applyBorder="1" applyAlignment="1">
      <alignment horizontal="center"/>
    </xf>
    <xf numFmtId="166" fontId="7" fillId="0" borderId="15" xfId="1" applyNumberFormat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3" fillId="0" borderId="34" xfId="1" applyBorder="1" applyAlignment="1">
      <alignment horizontal="center"/>
    </xf>
    <xf numFmtId="0" fontId="3" fillId="0" borderId="35" xfId="1" applyBorder="1" applyAlignment="1">
      <alignment horizontal="center"/>
    </xf>
    <xf numFmtId="0" fontId="7" fillId="0" borderId="33" xfId="1" applyFont="1" applyBorder="1" applyAlignment="1">
      <alignment horizontal="center"/>
    </xf>
    <xf numFmtId="0" fontId="7" fillId="0" borderId="34" xfId="1" applyFont="1" applyBorder="1" applyAlignment="1">
      <alignment horizontal="center"/>
    </xf>
    <xf numFmtId="0" fontId="7" fillId="0" borderId="3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3" fillId="0" borderId="17" xfId="1" applyBorder="1" applyAlignment="1">
      <alignment horizontal="center"/>
    </xf>
    <xf numFmtId="0" fontId="3" fillId="0" borderId="18" xfId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165" fontId="9" fillId="0" borderId="14" xfId="0" applyNumberFormat="1" applyFont="1" applyFill="1" applyBorder="1" applyAlignment="1">
      <alignment horizontal="center" vertical="center"/>
    </xf>
    <xf numFmtId="165" fontId="10" fillId="0" borderId="14" xfId="1" applyNumberFormat="1" applyFont="1" applyBorder="1" applyAlignment="1">
      <alignment horizontal="center"/>
    </xf>
    <xf numFmtId="165" fontId="5" fillId="0" borderId="14" xfId="1" applyNumberFormat="1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5" fontId="7" fillId="0" borderId="14" xfId="1" applyNumberFormat="1" applyFont="1" applyBorder="1" applyAlignment="1">
      <alignment horizontal="center"/>
    </xf>
    <xf numFmtId="2" fontId="7" fillId="0" borderId="14" xfId="0" applyNumberFormat="1" applyFont="1" applyFill="1" applyBorder="1" applyAlignment="1">
      <alignment horizontal="center"/>
    </xf>
    <xf numFmtId="0" fontId="0" fillId="0" borderId="3" xfId="0" applyBorder="1" applyAlignment="1"/>
    <xf numFmtId="0" fontId="0" fillId="3" borderId="0" xfId="0" applyFill="1" applyBorder="1"/>
    <xf numFmtId="16" fontId="0" fillId="0" borderId="0" xfId="0" quotePrefix="1" applyNumberFormat="1"/>
    <xf numFmtId="0" fontId="21" fillId="10" borderId="0" xfId="0" applyFont="1" applyFill="1" applyProtection="1">
      <protection hidden="1"/>
    </xf>
    <xf numFmtId="165" fontId="21" fillId="10" borderId="0" xfId="0" applyNumberFormat="1" applyFont="1" applyFill="1" applyProtection="1">
      <protection hidden="1"/>
    </xf>
    <xf numFmtId="164" fontId="3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64" fontId="0" fillId="0" borderId="0" xfId="0" applyNumberFormat="1" applyBorder="1"/>
    <xf numFmtId="0" fontId="3" fillId="0" borderId="0" xfId="0" applyFont="1" applyFill="1" applyBorder="1" applyAlignment="1">
      <alignment horizontal="center" vertical="center"/>
    </xf>
    <xf numFmtId="0" fontId="0" fillId="11" borderId="0" xfId="0" applyFill="1" applyProtection="1">
      <protection hidden="1"/>
    </xf>
    <xf numFmtId="0" fontId="0" fillId="0" borderId="0" xfId="0" applyProtection="1">
      <protection hidden="1"/>
    </xf>
    <xf numFmtId="0" fontId="0" fillId="10" borderId="26" xfId="0" applyFill="1" applyBorder="1" applyAlignment="1" applyProtection="1">
      <alignment vertical="center"/>
      <protection hidden="1"/>
    </xf>
    <xf numFmtId="0" fontId="2" fillId="10" borderId="30" xfId="0" applyFont="1" applyFill="1" applyBorder="1" applyAlignment="1" applyProtection="1">
      <alignment vertical="center"/>
      <protection hidden="1"/>
    </xf>
    <xf numFmtId="0" fontId="0" fillId="10" borderId="30" xfId="0" applyFill="1" applyBorder="1" applyAlignment="1" applyProtection="1">
      <alignment vertical="center"/>
      <protection hidden="1"/>
    </xf>
    <xf numFmtId="0" fontId="0" fillId="10" borderId="30" xfId="0" applyFill="1" applyBorder="1" applyAlignment="1" applyProtection="1">
      <alignment horizontal="center" vertical="center"/>
      <protection hidden="1"/>
    </xf>
    <xf numFmtId="0" fontId="0" fillId="10" borderId="25" xfId="0" applyFill="1" applyBorder="1" applyAlignment="1" applyProtection="1">
      <alignment vertical="center"/>
      <protection hidden="1"/>
    </xf>
    <xf numFmtId="0" fontId="0" fillId="10" borderId="19" xfId="0" applyFill="1" applyBorder="1" applyAlignment="1" applyProtection="1">
      <alignment vertical="center"/>
      <protection hidden="1"/>
    </xf>
    <xf numFmtId="0" fontId="2" fillId="10" borderId="0" xfId="0" applyFont="1" applyFill="1" applyBorder="1" applyAlignment="1" applyProtection="1">
      <alignment vertical="center"/>
      <protection hidden="1"/>
    </xf>
    <xf numFmtId="0" fontId="0" fillId="10" borderId="0" xfId="0" applyFill="1" applyBorder="1" applyAlignment="1" applyProtection="1">
      <alignment vertical="center"/>
      <protection hidden="1"/>
    </xf>
    <xf numFmtId="0" fontId="0" fillId="10" borderId="0" xfId="0" applyFill="1" applyBorder="1" applyAlignment="1" applyProtection="1">
      <alignment horizontal="center" vertical="center"/>
      <protection hidden="1"/>
    </xf>
    <xf numFmtId="0" fontId="0" fillId="10" borderId="27" xfId="0" applyFill="1" applyBorder="1" applyAlignment="1" applyProtection="1">
      <alignment vertical="center"/>
      <protection hidden="1"/>
    </xf>
    <xf numFmtId="0" fontId="4" fillId="10" borderId="19" xfId="0" applyFont="1" applyFill="1" applyBorder="1" applyAlignment="1" applyProtection="1">
      <alignment vertical="center"/>
      <protection hidden="1"/>
    </xf>
    <xf numFmtId="0" fontId="11" fillId="1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6" fillId="10" borderId="0" xfId="0" applyFont="1" applyFill="1" applyBorder="1" applyAlignment="1" applyProtection="1">
      <alignment vertical="center"/>
      <protection hidden="1"/>
    </xf>
    <xf numFmtId="0" fontId="4" fillId="10" borderId="0" xfId="0" applyFont="1" applyFill="1" applyBorder="1" applyAlignment="1" applyProtection="1">
      <alignment vertical="center"/>
      <protection hidden="1"/>
    </xf>
    <xf numFmtId="49" fontId="11" fillId="10" borderId="0" xfId="0" applyNumberFormat="1" applyFont="1" applyFill="1" applyBorder="1" applyAlignment="1" applyProtection="1">
      <alignment vertical="center"/>
      <protection hidden="1"/>
    </xf>
    <xf numFmtId="0" fontId="11" fillId="10" borderId="27" xfId="0" applyFont="1" applyFill="1" applyBorder="1" applyAlignment="1" applyProtection="1">
      <alignment vertical="center"/>
      <protection hidden="1"/>
    </xf>
    <xf numFmtId="0" fontId="4" fillId="10" borderId="26" xfId="0" applyFont="1" applyFill="1" applyBorder="1" applyAlignment="1" applyProtection="1">
      <alignment vertical="center"/>
      <protection hidden="1"/>
    </xf>
    <xf numFmtId="0" fontId="11" fillId="10" borderId="30" xfId="0" applyFont="1" applyFill="1" applyBorder="1" applyAlignment="1" applyProtection="1">
      <alignment vertical="center"/>
      <protection hidden="1"/>
    </xf>
    <xf numFmtId="0" fontId="16" fillId="10" borderId="30" xfId="0" applyFont="1" applyFill="1" applyBorder="1" applyAlignment="1" applyProtection="1">
      <alignment vertical="center"/>
      <protection hidden="1"/>
    </xf>
    <xf numFmtId="0" fontId="4" fillId="10" borderId="30" xfId="0" applyFont="1" applyFill="1" applyBorder="1" applyAlignment="1" applyProtection="1">
      <alignment vertical="center"/>
      <protection hidden="1"/>
    </xf>
    <xf numFmtId="0" fontId="12" fillId="10" borderId="30" xfId="0" applyFont="1" applyFill="1" applyBorder="1" applyAlignment="1" applyProtection="1">
      <alignment vertical="center"/>
      <protection hidden="1"/>
    </xf>
    <xf numFmtId="0" fontId="11" fillId="10" borderId="25" xfId="0" applyFont="1" applyFill="1" applyBorder="1" applyAlignment="1" applyProtection="1">
      <alignment vertical="center"/>
      <protection hidden="1"/>
    </xf>
    <xf numFmtId="0" fontId="11" fillId="10" borderId="19" xfId="0" applyFont="1" applyFill="1" applyBorder="1" applyAlignment="1" applyProtection="1">
      <alignment vertical="center"/>
      <protection hidden="1"/>
    </xf>
    <xf numFmtId="0" fontId="11" fillId="10" borderId="0" xfId="0" quotePrefix="1" applyFont="1" applyFill="1" applyBorder="1" applyAlignment="1" applyProtection="1">
      <alignment vertical="center"/>
      <protection hidden="1"/>
    </xf>
    <xf numFmtId="0" fontId="12" fillId="10" borderId="0" xfId="0" applyFont="1" applyFill="1" applyBorder="1" applyAlignment="1" applyProtection="1">
      <alignment horizontal="center" vertical="center"/>
      <protection hidden="1"/>
    </xf>
    <xf numFmtId="0" fontId="12" fillId="10" borderId="0" xfId="0" applyFont="1" applyFill="1" applyBorder="1" applyAlignment="1" applyProtection="1">
      <alignment vertical="center"/>
      <protection hidden="1"/>
    </xf>
    <xf numFmtId="0" fontId="11" fillId="0" borderId="27" xfId="0" applyFont="1" applyFill="1" applyBorder="1" applyAlignment="1" applyProtection="1">
      <alignment vertical="center"/>
      <protection hidden="1"/>
    </xf>
    <xf numFmtId="0" fontId="11" fillId="10" borderId="0" xfId="0" applyFont="1" applyFill="1" applyBorder="1" applyAlignment="1" applyProtection="1">
      <alignment horizontal="left" vertical="center"/>
      <protection hidden="1"/>
    </xf>
    <xf numFmtId="0" fontId="11" fillId="10" borderId="27" xfId="0" applyFont="1" applyFill="1" applyBorder="1" applyAlignment="1" applyProtection="1">
      <alignment horizontal="left" vertical="center"/>
      <protection hidden="1"/>
    </xf>
    <xf numFmtId="0" fontId="4" fillId="10" borderId="19" xfId="0" applyFont="1" applyFill="1" applyBorder="1" applyAlignment="1" applyProtection="1">
      <alignment horizontal="left" vertical="center"/>
      <protection hidden="1"/>
    </xf>
    <xf numFmtId="0" fontId="4" fillId="10" borderId="29" xfId="0" applyFont="1" applyFill="1" applyBorder="1" applyAlignment="1" applyProtection="1">
      <alignment vertical="center"/>
      <protection hidden="1"/>
    </xf>
    <xf numFmtId="0" fontId="11" fillId="10" borderId="31" xfId="0" applyFont="1" applyFill="1" applyBorder="1" applyAlignment="1" applyProtection="1">
      <alignment vertical="center"/>
      <protection hidden="1"/>
    </xf>
    <xf numFmtId="9" fontId="11" fillId="0" borderId="31" xfId="0" applyNumberFormat="1" applyFont="1" applyFill="1" applyBorder="1" applyAlignment="1" applyProtection="1">
      <alignment horizontal="center" vertical="center"/>
      <protection hidden="1"/>
    </xf>
    <xf numFmtId="0" fontId="4" fillId="10" borderId="31" xfId="0" applyFont="1" applyFill="1" applyBorder="1" applyAlignment="1" applyProtection="1">
      <alignment vertical="center"/>
      <protection hidden="1"/>
    </xf>
    <xf numFmtId="9" fontId="11" fillId="10" borderId="31" xfId="0" applyNumberFormat="1" applyFont="1" applyFill="1" applyBorder="1" applyAlignment="1" applyProtection="1">
      <alignment vertical="center"/>
      <protection hidden="1"/>
    </xf>
    <xf numFmtId="1" fontId="11" fillId="10" borderId="31" xfId="0" applyNumberFormat="1" applyFont="1" applyFill="1" applyBorder="1" applyAlignment="1" applyProtection="1">
      <alignment vertical="center"/>
      <protection hidden="1"/>
    </xf>
    <xf numFmtId="0" fontId="11" fillId="0" borderId="28" xfId="0" applyFont="1" applyFill="1" applyBorder="1" applyAlignment="1" applyProtection="1">
      <alignment vertical="center"/>
      <protection hidden="1"/>
    </xf>
    <xf numFmtId="0" fontId="0" fillId="10" borderId="0" xfId="0" applyFill="1" applyBorder="1" applyProtection="1"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4" fillId="10" borderId="19" xfId="0" applyFont="1" applyFill="1" applyBorder="1" applyAlignment="1" applyProtection="1">
      <alignment horizontal="center" vertical="center"/>
      <protection hidden="1"/>
    </xf>
    <xf numFmtId="49" fontId="11" fillId="10" borderId="0" xfId="0" applyNumberFormat="1" applyFont="1" applyFill="1" applyBorder="1" applyAlignment="1" applyProtection="1">
      <alignment horizontal="center" vertical="center"/>
      <protection hidden="1"/>
    </xf>
    <xf numFmtId="0" fontId="4" fillId="10" borderId="0" xfId="0" applyFont="1" applyFill="1" applyBorder="1" applyAlignment="1" applyProtection="1">
      <alignment horizontal="center" vertical="center"/>
      <protection hidden="1"/>
    </xf>
    <xf numFmtId="0" fontId="6" fillId="10" borderId="0" xfId="0" applyFont="1" applyFill="1" applyBorder="1" applyAlignment="1" applyProtection="1">
      <alignment vertical="center"/>
      <protection hidden="1"/>
    </xf>
    <xf numFmtId="0" fontId="11" fillId="10" borderId="0" xfId="0" applyFont="1" applyFill="1" applyBorder="1" applyAlignment="1" applyProtection="1">
      <alignment horizontal="center" vertical="center"/>
      <protection hidden="1"/>
    </xf>
    <xf numFmtId="0" fontId="4" fillId="10" borderId="27" xfId="0" applyNumberFormat="1" applyFont="1" applyFill="1" applyBorder="1" applyAlignment="1" applyProtection="1">
      <alignment horizontal="center" vertical="center"/>
      <protection hidden="1"/>
    </xf>
    <xf numFmtId="0" fontId="4" fillId="10" borderId="26" xfId="0" applyFont="1" applyFill="1" applyBorder="1" applyAlignment="1" applyProtection="1">
      <alignment horizontal="center" vertical="center"/>
      <protection hidden="1"/>
    </xf>
    <xf numFmtId="0" fontId="4" fillId="0" borderId="30" xfId="0" applyFont="1" applyFill="1" applyBorder="1" applyAlignment="1" applyProtection="1">
      <alignment horizontal="center" vertical="center"/>
      <protection hidden="1"/>
    </xf>
    <xf numFmtId="0" fontId="11" fillId="10" borderId="30" xfId="0" applyFont="1" applyFill="1" applyBorder="1" applyAlignment="1" applyProtection="1">
      <alignment horizontal="center" vertical="center"/>
      <protection hidden="1"/>
    </xf>
    <xf numFmtId="0" fontId="16" fillId="10" borderId="30" xfId="0" applyFont="1" applyFill="1" applyBorder="1" applyAlignment="1" applyProtection="1">
      <alignment horizontal="left" vertical="center"/>
      <protection hidden="1"/>
    </xf>
    <xf numFmtId="0" fontId="4" fillId="10" borderId="30" xfId="0" applyFont="1" applyFill="1" applyBorder="1" applyAlignment="1" applyProtection="1">
      <alignment horizontal="center" vertical="center"/>
      <protection hidden="1"/>
    </xf>
    <xf numFmtId="9" fontId="11" fillId="10" borderId="25" xfId="0" applyNumberFormat="1" applyFont="1" applyFill="1" applyBorder="1" applyAlignment="1" applyProtection="1">
      <alignment horizontal="center" vertical="center"/>
      <protection hidden="1"/>
    </xf>
    <xf numFmtId="49" fontId="11" fillId="10" borderId="0" xfId="0" applyNumberFormat="1" applyFont="1" applyFill="1" applyBorder="1" applyAlignment="1" applyProtection="1">
      <alignment horizontal="left" vertical="center"/>
      <protection hidden="1"/>
    </xf>
    <xf numFmtId="0" fontId="11" fillId="10" borderId="27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3" fillId="10" borderId="0" xfId="0" applyFont="1" applyFill="1" applyBorder="1" applyAlignment="1" applyProtection="1">
      <alignment horizontal="center" vertical="center"/>
      <protection hidden="1"/>
    </xf>
    <xf numFmtId="0" fontId="4" fillId="10" borderId="0" xfId="0" applyNumberFormat="1" applyFont="1" applyFill="1" applyBorder="1" applyAlignment="1" applyProtection="1">
      <alignment horizontal="center" vertical="center"/>
      <protection hidden="1"/>
    </xf>
    <xf numFmtId="0" fontId="15" fillId="10" borderId="0" xfId="0" applyFont="1" applyFill="1" applyBorder="1" applyAlignment="1" applyProtection="1">
      <alignment horizontal="center" vertical="center"/>
      <protection hidden="1"/>
    </xf>
    <xf numFmtId="0" fontId="24" fillId="1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10" borderId="0" xfId="0" applyFont="1" applyFill="1" applyBorder="1" applyAlignment="1" applyProtection="1">
      <alignment horizontal="left" vertical="center"/>
      <protection hidden="1"/>
    </xf>
    <xf numFmtId="2" fontId="11" fillId="1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quotePrefix="1" applyFont="1" applyFill="1" applyBorder="1" applyAlignment="1" applyProtection="1">
      <alignment horizontal="left" vertical="center"/>
      <protection hidden="1"/>
    </xf>
    <xf numFmtId="0" fontId="4" fillId="10" borderId="0" xfId="0" quotePrefix="1" applyFont="1" applyFill="1" applyBorder="1" applyAlignment="1" applyProtection="1">
      <alignment horizontal="left" vertical="center"/>
      <protection hidden="1"/>
    </xf>
    <xf numFmtId="0" fontId="11" fillId="10" borderId="27" xfId="0" applyFont="1" applyFill="1" applyBorder="1" applyAlignment="1" applyProtection="1">
      <alignment horizontal="right" vertical="center"/>
      <protection hidden="1"/>
    </xf>
    <xf numFmtId="0" fontId="20" fillId="11" borderId="0" xfId="0" applyFont="1" applyFill="1" applyProtection="1">
      <protection hidden="1"/>
    </xf>
    <xf numFmtId="0" fontId="4" fillId="10" borderId="0" xfId="0" applyFont="1" applyFill="1" applyBorder="1" applyAlignment="1" applyProtection="1">
      <alignment horizontal="right" vertical="center"/>
      <protection hidden="1"/>
    </xf>
    <xf numFmtId="16" fontId="4" fillId="10" borderId="0" xfId="0" applyNumberFormat="1" applyFont="1" applyFill="1" applyBorder="1" applyAlignment="1" applyProtection="1">
      <alignment vertical="center"/>
      <protection hidden="1"/>
    </xf>
    <xf numFmtId="0" fontId="11" fillId="10" borderId="0" xfId="0" applyFont="1" applyFill="1" applyBorder="1" applyAlignment="1" applyProtection="1">
      <alignment horizontal="right" vertical="center"/>
      <protection hidden="1"/>
    </xf>
    <xf numFmtId="0" fontId="11" fillId="10" borderId="0" xfId="0" applyNumberFormat="1" applyFont="1" applyFill="1" applyBorder="1" applyAlignment="1" applyProtection="1">
      <alignment horizontal="center" vertical="center"/>
      <protection hidden="1"/>
    </xf>
    <xf numFmtId="2" fontId="11" fillId="10" borderId="27" xfId="0" applyNumberFormat="1" applyFont="1" applyFill="1" applyBorder="1" applyAlignment="1" applyProtection="1">
      <alignment horizontal="center" vertical="center"/>
      <protection hidden="1"/>
    </xf>
    <xf numFmtId="0" fontId="11" fillId="10" borderId="0" xfId="0" quotePrefix="1" applyFont="1" applyFill="1" applyBorder="1" applyAlignment="1" applyProtection="1">
      <alignment horizontal="center" vertical="center"/>
      <protection hidden="1"/>
    </xf>
    <xf numFmtId="0" fontId="14" fillId="10" borderId="0" xfId="0" applyFont="1" applyFill="1" applyBorder="1" applyAlignment="1" applyProtection="1">
      <alignment horizontal="center" vertical="center"/>
      <protection hidden="1"/>
    </xf>
    <xf numFmtId="0" fontId="11" fillId="10" borderId="27" xfId="0" quotePrefix="1" applyFont="1" applyFill="1" applyBorder="1" applyAlignment="1" applyProtection="1">
      <alignment horizontal="center" vertical="center"/>
      <protection hidden="1"/>
    </xf>
    <xf numFmtId="0" fontId="19" fillId="10" borderId="0" xfId="0" applyFont="1" applyFill="1" applyBorder="1" applyAlignment="1" applyProtection="1">
      <alignment vertical="center"/>
      <protection hidden="1"/>
    </xf>
    <xf numFmtId="0" fontId="3" fillId="10" borderId="27" xfId="0" applyFont="1" applyFill="1" applyBorder="1" applyAlignment="1" applyProtection="1">
      <alignment vertical="center"/>
      <protection hidden="1"/>
    </xf>
    <xf numFmtId="0" fontId="3" fillId="10" borderId="0" xfId="0" applyFont="1" applyFill="1" applyBorder="1" applyAlignment="1" applyProtection="1">
      <alignment vertical="center"/>
      <protection hidden="1"/>
    </xf>
    <xf numFmtId="1" fontId="11" fillId="10" borderId="0" xfId="0" applyNumberFormat="1" applyFont="1" applyFill="1" applyBorder="1" applyAlignment="1" applyProtection="1">
      <alignment horizontal="center" vertical="center"/>
      <protection hidden="1"/>
    </xf>
    <xf numFmtId="2" fontId="4" fillId="10" borderId="0" xfId="0" applyNumberFormat="1" applyFont="1" applyFill="1" applyBorder="1" applyAlignment="1" applyProtection="1">
      <alignment horizontal="center" vertical="center"/>
      <protection hidden="1"/>
    </xf>
    <xf numFmtId="1" fontId="4" fillId="10" borderId="0" xfId="0" applyNumberFormat="1" applyFont="1" applyFill="1" applyBorder="1" applyAlignment="1" applyProtection="1">
      <alignment horizontal="center" vertical="center"/>
      <protection hidden="1"/>
    </xf>
    <xf numFmtId="0" fontId="6" fillId="10" borderId="27" xfId="0" applyFont="1" applyFill="1" applyBorder="1" applyAlignment="1" applyProtection="1">
      <alignment vertical="center"/>
      <protection hidden="1"/>
    </xf>
    <xf numFmtId="0" fontId="25" fillId="10" borderId="0" xfId="0" applyFont="1" applyFill="1" applyBorder="1" applyAlignment="1" applyProtection="1">
      <alignment vertical="center"/>
      <protection hidden="1"/>
    </xf>
    <xf numFmtId="0" fontId="25" fillId="10" borderId="0" xfId="0" applyFont="1" applyFill="1" applyBorder="1" applyAlignment="1" applyProtection="1">
      <alignment horizontal="center" vertical="center"/>
      <protection hidden="1"/>
    </xf>
    <xf numFmtId="1" fontId="25" fillId="10" borderId="0" xfId="0" applyNumberFormat="1" applyFont="1" applyFill="1" applyBorder="1" applyAlignment="1" applyProtection="1">
      <alignment horizontal="center" vertical="center"/>
      <protection hidden="1"/>
    </xf>
    <xf numFmtId="0" fontId="25" fillId="10" borderId="27" xfId="0" applyFont="1" applyFill="1" applyBorder="1" applyAlignment="1" applyProtection="1">
      <alignment horizontal="center" vertical="center"/>
      <protection hidden="1"/>
    </xf>
    <xf numFmtId="0" fontId="26" fillId="10" borderId="0" xfId="0" applyFont="1" applyFill="1" applyBorder="1" applyAlignment="1" applyProtection="1">
      <alignment vertical="center"/>
      <protection hidden="1"/>
    </xf>
    <xf numFmtId="0" fontId="26" fillId="10" borderId="0" xfId="0" applyFont="1" applyFill="1" applyBorder="1" applyAlignment="1" applyProtection="1">
      <alignment horizontal="right" vertical="center"/>
      <protection hidden="1"/>
    </xf>
    <xf numFmtId="15" fontId="11" fillId="10" borderId="29" xfId="0" applyNumberFormat="1" applyFont="1" applyFill="1" applyBorder="1" applyAlignment="1" applyProtection="1">
      <alignment horizontal="center" vertical="center"/>
      <protection hidden="1"/>
    </xf>
    <xf numFmtId="0" fontId="11" fillId="10" borderId="31" xfId="0" applyFont="1" applyFill="1" applyBorder="1" applyAlignment="1" applyProtection="1">
      <alignment horizontal="center" vertical="center"/>
      <protection hidden="1"/>
    </xf>
    <xf numFmtId="0" fontId="11" fillId="10" borderId="31" xfId="0" applyFont="1" applyFill="1" applyBorder="1" applyAlignment="1" applyProtection="1">
      <alignment horizontal="right" vertical="center"/>
      <protection hidden="1"/>
    </xf>
    <xf numFmtId="170" fontId="11" fillId="10" borderId="31" xfId="0" applyNumberFormat="1" applyFont="1" applyFill="1" applyBorder="1" applyAlignment="1" applyProtection="1">
      <alignment horizontal="right" vertical="center"/>
      <protection hidden="1"/>
    </xf>
    <xf numFmtId="15" fontId="11" fillId="10" borderId="28" xfId="0" applyNumberFormat="1" applyFont="1" applyFill="1" applyBorder="1" applyAlignment="1" applyProtection="1">
      <alignment horizontal="center" vertical="center"/>
      <protection hidden="1"/>
    </xf>
    <xf numFmtId="0" fontId="0" fillId="10" borderId="26" xfId="0" applyFill="1" applyBorder="1" applyProtection="1">
      <protection hidden="1"/>
    </xf>
    <xf numFmtId="0" fontId="0" fillId="10" borderId="30" xfId="0" applyFill="1" applyBorder="1" applyProtection="1">
      <protection hidden="1"/>
    </xf>
    <xf numFmtId="0" fontId="0" fillId="10" borderId="25" xfId="0" applyFill="1" applyBorder="1" applyProtection="1">
      <protection hidden="1"/>
    </xf>
    <xf numFmtId="0" fontId="0" fillId="10" borderId="19" xfId="0" applyFill="1" applyBorder="1" applyProtection="1">
      <protection hidden="1"/>
    </xf>
    <xf numFmtId="0" fontId="0" fillId="10" borderId="27" xfId="0" applyFill="1" applyBorder="1" applyProtection="1">
      <protection hidden="1"/>
    </xf>
    <xf numFmtId="0" fontId="0" fillId="10" borderId="0" xfId="0" applyFill="1" applyProtection="1">
      <protection hidden="1"/>
    </xf>
    <xf numFmtId="0" fontId="0" fillId="10" borderId="0" xfId="0" applyFill="1" applyBorder="1" applyAlignment="1" applyProtection="1">
      <alignment horizontal="right"/>
      <protection hidden="1"/>
    </xf>
    <xf numFmtId="0" fontId="22" fillId="10" borderId="0" xfId="0" applyFont="1" applyFill="1" applyBorder="1" applyProtection="1">
      <protection hidden="1"/>
    </xf>
    <xf numFmtId="0" fontId="0" fillId="10" borderId="29" xfId="0" applyFill="1" applyBorder="1" applyProtection="1">
      <protection hidden="1"/>
    </xf>
    <xf numFmtId="0" fontId="0" fillId="10" borderId="31" xfId="0" applyFill="1" applyBorder="1" applyProtection="1">
      <protection hidden="1"/>
    </xf>
    <xf numFmtId="0" fontId="0" fillId="10" borderId="28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11" fillId="5" borderId="1" xfId="0" applyFont="1" applyFill="1" applyBorder="1" applyAlignment="1" applyProtection="1">
      <alignment vertical="center"/>
      <protection locked="0" hidden="1"/>
    </xf>
    <xf numFmtId="0" fontId="25" fillId="10" borderId="31" xfId="0" applyFont="1" applyFill="1" applyBorder="1" applyAlignment="1" applyProtection="1">
      <alignment vertical="center"/>
      <protection hidden="1"/>
    </xf>
    <xf numFmtId="0" fontId="0" fillId="10" borderId="0" xfId="0" applyFill="1" applyBorder="1" applyAlignment="1" applyProtection="1">
      <alignment horizontal="right" vertical="center"/>
      <protection hidden="1"/>
    </xf>
    <xf numFmtId="0" fontId="29" fillId="10" borderId="0" xfId="0" applyFont="1" applyFill="1" applyAlignment="1" applyProtection="1">
      <alignment horizontal="right"/>
      <protection hidden="1"/>
    </xf>
    <xf numFmtId="0" fontId="4" fillId="10" borderId="27" xfId="0" applyFont="1" applyFill="1" applyBorder="1" applyAlignment="1" applyProtection="1">
      <alignment horizontal="center" vertical="center"/>
      <protection hidden="1"/>
    </xf>
    <xf numFmtId="0" fontId="20" fillId="10" borderId="19" xfId="0" applyFont="1" applyFill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0" fillId="0" borderId="0" xfId="0" applyFont="1" applyAlignment="1" applyProtection="1">
      <alignment horizontal="right"/>
      <protection hidden="1"/>
    </xf>
    <xf numFmtId="0" fontId="11" fillId="5" borderId="1" xfId="0" applyFont="1" applyFill="1" applyBorder="1" applyAlignment="1" applyProtection="1">
      <alignment vertical="center"/>
      <protection hidden="1"/>
    </xf>
    <xf numFmtId="0" fontId="11" fillId="4" borderId="1" xfId="0" applyFont="1" applyFill="1" applyBorder="1" applyAlignment="1" applyProtection="1">
      <alignment vertical="center"/>
      <protection hidden="1"/>
    </xf>
    <xf numFmtId="164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0" fontId="24" fillId="10" borderId="0" xfId="0" applyFont="1" applyFill="1" applyProtection="1">
      <protection hidden="1"/>
    </xf>
    <xf numFmtId="0" fontId="3" fillId="10" borderId="0" xfId="0" applyFont="1" applyFill="1" applyBorder="1" applyAlignment="1" applyProtection="1">
      <alignment horizontal="left" vertical="center"/>
      <protection hidden="1"/>
    </xf>
    <xf numFmtId="0" fontId="23" fillId="10" borderId="0" xfId="0" applyFont="1" applyFill="1" applyBorder="1" applyAlignment="1" applyProtection="1">
      <alignment vertical="center"/>
      <protection hidden="1"/>
    </xf>
    <xf numFmtId="0" fontId="3" fillId="5" borderId="1" xfId="0" applyFont="1" applyFill="1" applyBorder="1" applyAlignment="1" applyProtection="1">
      <alignment vertical="center"/>
      <protection locked="0" hidden="1"/>
    </xf>
    <xf numFmtId="0" fontId="18" fillId="7" borderId="19" xfId="0" applyFont="1" applyFill="1" applyBorder="1" applyAlignment="1" applyProtection="1">
      <alignment horizontal="center" vertical="center"/>
      <protection hidden="1"/>
    </xf>
    <xf numFmtId="0" fontId="18" fillId="7" borderId="0" xfId="0" applyFont="1" applyFill="1" applyBorder="1" applyAlignment="1" applyProtection="1">
      <alignment horizontal="center" vertical="center"/>
      <protection hidden="1"/>
    </xf>
    <xf numFmtId="0" fontId="18" fillId="7" borderId="27" xfId="0" applyFont="1" applyFill="1" applyBorder="1" applyAlignment="1" applyProtection="1">
      <alignment horizontal="center" vertical="center"/>
      <protection hidden="1"/>
    </xf>
    <xf numFmtId="165" fontId="6" fillId="0" borderId="8" xfId="0" applyNumberFormat="1" applyFont="1" applyFill="1" applyBorder="1" applyAlignment="1" applyProtection="1">
      <alignment horizontal="center" vertical="center"/>
      <protection hidden="1"/>
    </xf>
    <xf numFmtId="165" fontId="6" fillId="0" borderId="12" xfId="0" applyNumberFormat="1" applyFont="1" applyFill="1" applyBorder="1" applyAlignment="1" applyProtection="1">
      <alignment horizontal="center" vertical="center"/>
      <protection hidden="1"/>
    </xf>
    <xf numFmtId="165" fontId="6" fillId="0" borderId="9" xfId="0" applyNumberFormat="1" applyFont="1" applyFill="1" applyBorder="1" applyAlignment="1" applyProtection="1">
      <alignment horizontal="center" vertical="center"/>
      <protection hidden="1"/>
    </xf>
    <xf numFmtId="1" fontId="4" fillId="0" borderId="8" xfId="0" applyNumberFormat="1" applyFont="1" applyFill="1" applyBorder="1" applyAlignment="1" applyProtection="1">
      <alignment horizontal="center" vertical="center"/>
      <protection hidden="1"/>
    </xf>
    <xf numFmtId="1" fontId="4" fillId="0" borderId="12" xfId="0" applyNumberFormat="1" applyFont="1" applyFill="1" applyBorder="1" applyAlignment="1" applyProtection="1">
      <alignment horizontal="center" vertical="center"/>
      <protection hidden="1"/>
    </xf>
    <xf numFmtId="1" fontId="4" fillId="0" borderId="9" xfId="0" applyNumberFormat="1" applyFont="1" applyFill="1" applyBorder="1" applyAlignment="1" applyProtection="1">
      <alignment horizontal="center" vertical="center"/>
      <protection hidden="1"/>
    </xf>
    <xf numFmtId="0" fontId="4" fillId="7" borderId="19" xfId="0" applyFont="1" applyFill="1" applyBorder="1" applyAlignment="1" applyProtection="1">
      <alignment horizontal="center" vertical="center"/>
      <protection hidden="1"/>
    </xf>
    <xf numFmtId="0" fontId="4" fillId="7" borderId="0" xfId="0" applyFont="1" applyFill="1" applyBorder="1" applyAlignment="1" applyProtection="1">
      <alignment horizontal="center" vertical="center"/>
      <protection hidden="1"/>
    </xf>
    <xf numFmtId="0" fontId="4" fillId="7" borderId="27" xfId="0" applyFont="1" applyFill="1" applyBorder="1" applyAlignment="1" applyProtection="1">
      <alignment horizontal="center" vertical="center"/>
      <protection hidden="1"/>
    </xf>
    <xf numFmtId="0" fontId="22" fillId="10" borderId="0" xfId="0" applyFont="1" applyFill="1" applyBorder="1" applyAlignment="1" applyProtection="1">
      <alignment horizontal="center"/>
      <protection hidden="1"/>
    </xf>
    <xf numFmtId="0" fontId="3" fillId="10" borderId="0" xfId="0" applyFont="1" applyFill="1" applyBorder="1" applyAlignment="1" applyProtection="1">
      <alignment horizontal="center" vertical="center"/>
      <protection hidden="1"/>
    </xf>
    <xf numFmtId="0" fontId="2" fillId="10" borderId="0" xfId="0" applyFont="1" applyFill="1" applyBorder="1" applyAlignment="1" applyProtection="1">
      <alignment horizontal="center" vertical="center"/>
      <protection hidden="1"/>
    </xf>
    <xf numFmtId="1" fontId="11" fillId="5" borderId="8" xfId="0" applyNumberFormat="1" applyFont="1" applyFill="1" applyBorder="1" applyAlignment="1" applyProtection="1">
      <alignment horizontal="center" vertical="center"/>
      <protection locked="0" hidden="1"/>
    </xf>
    <xf numFmtId="1" fontId="11" fillId="5" borderId="9" xfId="0" applyNumberFormat="1" applyFont="1" applyFill="1" applyBorder="1" applyAlignment="1" applyProtection="1">
      <alignment horizontal="center" vertical="center"/>
      <protection locked="0" hidden="1"/>
    </xf>
    <xf numFmtId="0" fontId="11" fillId="5" borderId="8" xfId="0" applyFont="1" applyFill="1" applyBorder="1" applyAlignment="1" applyProtection="1">
      <alignment horizontal="center" vertical="center"/>
      <protection locked="0" hidden="1"/>
    </xf>
    <xf numFmtId="0" fontId="11" fillId="5" borderId="9" xfId="0" applyFont="1" applyFill="1" applyBorder="1" applyAlignment="1" applyProtection="1">
      <alignment horizontal="center" vertical="center"/>
      <protection locked="0" hidden="1"/>
    </xf>
    <xf numFmtId="165" fontId="3" fillId="10" borderId="8" xfId="0" applyNumberFormat="1" applyFont="1" applyFill="1" applyBorder="1" applyAlignment="1" applyProtection="1">
      <alignment horizontal="center" vertical="center"/>
      <protection hidden="1"/>
    </xf>
    <xf numFmtId="165" fontId="3" fillId="10" borderId="9" xfId="0" applyNumberFormat="1" applyFont="1" applyFill="1" applyBorder="1" applyAlignment="1" applyProtection="1">
      <alignment horizontal="center" vertical="center"/>
      <protection hidden="1"/>
    </xf>
    <xf numFmtId="0" fontId="17" fillId="8" borderId="0" xfId="0" applyFont="1" applyFill="1" applyBorder="1" applyAlignment="1" applyProtection="1">
      <alignment horizontal="center" vertical="center"/>
      <protection hidden="1"/>
    </xf>
    <xf numFmtId="0" fontId="17" fillId="9" borderId="0" xfId="0" applyFont="1" applyFill="1" applyBorder="1" applyAlignment="1" applyProtection="1">
      <alignment horizontal="center" vertical="center"/>
      <protection hidden="1"/>
    </xf>
    <xf numFmtId="0" fontId="18" fillId="7" borderId="29" xfId="0" applyFont="1" applyFill="1" applyBorder="1" applyAlignment="1" applyProtection="1">
      <alignment horizontal="center" vertical="center"/>
      <protection hidden="1"/>
    </xf>
    <xf numFmtId="0" fontId="18" fillId="7" borderId="31" xfId="0" applyFont="1" applyFill="1" applyBorder="1" applyAlignment="1" applyProtection="1">
      <alignment horizontal="center" vertical="center"/>
      <protection hidden="1"/>
    </xf>
    <xf numFmtId="0" fontId="18" fillId="7" borderId="28" xfId="0" applyFont="1" applyFill="1" applyBorder="1" applyAlignment="1" applyProtection="1">
      <alignment horizontal="center" vertical="center"/>
      <protection hidden="1"/>
    </xf>
    <xf numFmtId="0" fontId="11" fillId="5" borderId="12" xfId="0" applyFont="1" applyFill="1" applyBorder="1" applyAlignment="1" applyProtection="1">
      <alignment horizontal="center" vertical="center"/>
      <protection locked="0" hidden="1"/>
    </xf>
    <xf numFmtId="0" fontId="17" fillId="7" borderId="19" xfId="0" applyFont="1" applyFill="1" applyBorder="1" applyAlignment="1" applyProtection="1">
      <alignment horizontal="center" vertical="center"/>
      <protection hidden="1"/>
    </xf>
    <xf numFmtId="0" fontId="17" fillId="7" borderId="0" xfId="0" applyFont="1" applyFill="1" applyBorder="1" applyAlignment="1" applyProtection="1">
      <alignment horizontal="center" vertical="center"/>
      <protection hidden="1"/>
    </xf>
    <xf numFmtId="165" fontId="4" fillId="0" borderId="8" xfId="0" applyNumberFormat="1" applyFont="1" applyFill="1" applyBorder="1" applyAlignment="1" applyProtection="1">
      <alignment horizontal="center" vertical="center"/>
      <protection hidden="1"/>
    </xf>
    <xf numFmtId="165" fontId="4" fillId="0" borderId="12" xfId="0" applyNumberFormat="1" applyFont="1" applyFill="1" applyBorder="1" applyAlignment="1" applyProtection="1">
      <alignment horizontal="center" vertical="center"/>
      <protection hidden="1"/>
    </xf>
    <xf numFmtId="165" fontId="4" fillId="0" borderId="9" xfId="0" applyNumberFormat="1" applyFont="1" applyFill="1" applyBorder="1" applyAlignment="1" applyProtection="1">
      <alignment horizontal="center" vertical="center"/>
      <protection hidden="1"/>
    </xf>
    <xf numFmtId="0" fontId="7" fillId="10" borderId="19" xfId="0" applyFont="1" applyFill="1" applyBorder="1" applyAlignment="1" applyProtection="1">
      <alignment horizontal="center" vertical="center"/>
      <protection hidden="1"/>
    </xf>
    <xf numFmtId="0" fontId="7" fillId="10" borderId="0" xfId="0" applyFont="1" applyFill="1" applyBorder="1" applyAlignment="1" applyProtection="1">
      <alignment horizontal="center" vertical="center"/>
      <protection hidden="1"/>
    </xf>
    <xf numFmtId="0" fontId="7" fillId="10" borderId="27" xfId="0" applyFont="1" applyFill="1" applyBorder="1" applyAlignment="1" applyProtection="1">
      <alignment horizontal="center" vertical="center"/>
      <protection hidden="1"/>
    </xf>
    <xf numFmtId="0" fontId="27" fillId="10" borderId="19" xfId="0" applyFont="1" applyFill="1" applyBorder="1" applyAlignment="1" applyProtection="1">
      <alignment horizontal="center" vertical="center"/>
      <protection hidden="1"/>
    </xf>
    <xf numFmtId="0" fontId="28" fillId="0" borderId="0" xfId="0" applyFont="1" applyProtection="1">
      <protection hidden="1"/>
    </xf>
    <xf numFmtId="0" fontId="28" fillId="0" borderId="27" xfId="0" applyFont="1" applyBorder="1" applyProtection="1">
      <protection hidden="1"/>
    </xf>
    <xf numFmtId="0" fontId="30" fillId="10" borderId="37" xfId="0" applyFont="1" applyFill="1" applyBorder="1" applyAlignment="1" applyProtection="1">
      <alignment horizontal="center" vertical="center"/>
      <protection locked="0" hidden="1"/>
    </xf>
    <xf numFmtId="0" fontId="30" fillId="10" borderId="36" xfId="0" applyFont="1" applyFill="1" applyBorder="1" applyAlignment="1" applyProtection="1">
      <alignment horizontal="center" vertical="center"/>
      <protection locked="0" hidden="1"/>
    </xf>
    <xf numFmtId="14" fontId="30" fillId="10" borderId="37" xfId="0" applyNumberFormat="1" applyFont="1" applyFill="1" applyBorder="1" applyAlignment="1" applyProtection="1">
      <alignment horizontal="center" vertical="center"/>
      <protection locked="0" hidden="1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1" fillId="6" borderId="8" xfId="0" applyFont="1" applyFill="1" applyBorder="1" applyAlignment="1" applyProtection="1">
      <alignment horizontal="center" vertical="center"/>
      <protection hidden="1"/>
    </xf>
    <xf numFmtId="0" fontId="11" fillId="6" borderId="9" xfId="0" applyFont="1" applyFill="1" applyBorder="1" applyAlignment="1" applyProtection="1">
      <alignment horizontal="center" vertical="center"/>
      <protection hidden="1"/>
    </xf>
  </cellXfs>
  <cellStyles count="6">
    <cellStyle name="Euro" xfId="2" xr:uid="{00000000-0005-0000-0000-000000000000}"/>
    <cellStyle name="Migliaia (0)_Cartel1 Grafico 2" xfId="3" xr:uid="{00000000-0005-0000-0000-000001000000}"/>
    <cellStyle name="Normale" xfId="0" builtinId="0"/>
    <cellStyle name="Normale 2" xfId="1" xr:uid="{00000000-0005-0000-0000-000004000000}"/>
    <cellStyle name="Normale 2 2" xfId="4" xr:uid="{00000000-0005-0000-0000-000005000000}"/>
    <cellStyle name="Valuta (0)_Cartel1 Grafico 2" xfId="5" xr:uid="{00000000-0005-0000-0000-000006000000}"/>
  </cellStyles>
  <dxfs count="0"/>
  <tableStyles count="0" defaultTableStyle="TableStyleMedium9" defaultPivotStyle="PivotStyleLight16"/>
  <colors>
    <mruColors>
      <color rgb="FF2494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PAYBACK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PB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'Calcoli Grafici'!$B$4:$B$24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</c:numCache>
            </c:numRef>
          </c:xVal>
          <c:yVal>
            <c:numRef>
              <c:f>'Calcoli Grafici'!$E$4:$E$24</c:f>
              <c:numCache>
                <c:formatCode>0.0</c:formatCode>
                <c:ptCount val="21"/>
                <c:pt idx="0">
                  <c:v>104.11342945999435</c:v>
                </c:pt>
                <c:pt idx="1">
                  <c:v>83.290743567995463</c:v>
                </c:pt>
                <c:pt idx="2">
                  <c:v>69.40895297332959</c:v>
                </c:pt>
                <c:pt idx="3">
                  <c:v>59.493388262853912</c:v>
                </c:pt>
                <c:pt idx="4">
                  <c:v>52.056714729997175</c:v>
                </c:pt>
                <c:pt idx="5">
                  <c:v>46.272635315553046</c:v>
                </c:pt>
                <c:pt idx="6">
                  <c:v>41.645371783997732</c:v>
                </c:pt>
                <c:pt idx="7">
                  <c:v>37.859428894543377</c:v>
                </c:pt>
                <c:pt idx="8">
                  <c:v>34.704476486664795</c:v>
                </c:pt>
                <c:pt idx="9">
                  <c:v>32.034901372305967</c:v>
                </c:pt>
                <c:pt idx="10">
                  <c:v>29.746694131426956</c:v>
                </c:pt>
                <c:pt idx="11">
                  <c:v>27.763581189331834</c:v>
                </c:pt>
                <c:pt idx="12">
                  <c:v>26.028357364998588</c:v>
                </c:pt>
                <c:pt idx="13">
                  <c:v>24.497277519998661</c:v>
                </c:pt>
                <c:pt idx="14">
                  <c:v>23.136317657776523</c:v>
                </c:pt>
                <c:pt idx="15">
                  <c:v>21.918616728419856</c:v>
                </c:pt>
                <c:pt idx="16">
                  <c:v>20.822685891998866</c:v>
                </c:pt>
                <c:pt idx="17">
                  <c:v>19.83112942095131</c:v>
                </c:pt>
                <c:pt idx="18">
                  <c:v>18.929714447271689</c:v>
                </c:pt>
                <c:pt idx="19">
                  <c:v>18.106683384346848</c:v>
                </c:pt>
                <c:pt idx="20">
                  <c:v>17.352238243332398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7F-4786-AFEF-FB11DB37DC50}"/>
            </c:ext>
          </c:extLst>
        </c:ser>
        <c:ser>
          <c:idx val="1"/>
          <c:order val="1"/>
          <c:tx>
            <c:v>limit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dLbls>
            <c:dLbl>
              <c:idx val="0"/>
              <c:layout>
                <c:manualLayout>
                  <c:x val="-3.1306722029138555E-2"/>
                  <c:y val="-3.255086312650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7F-4786-AFEF-FB11DB37DC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7F-4786-AFEF-FB11DB37DC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'Calcoli Grafici'!$H$2:$H$3</c:f>
              <c:numCache>
                <c:formatCode>General</c:formatCode>
                <c:ptCount val="2"/>
                <c:pt idx="0">
                  <c:v>3</c:v>
                </c:pt>
                <c:pt idx="1">
                  <c:v>24</c:v>
                </c:pt>
              </c:numCache>
            </c:numRef>
          </c:xVal>
          <c:yVal>
            <c:numRef>
              <c:f>'Calcoli Grafici'!$I$2:$I$3</c:f>
              <c:numCache>
                <c:formatCode>0.0</c:formatCode>
                <c:ptCount val="2"/>
                <c:pt idx="0">
                  <c:v>18.740417302798974</c:v>
                </c:pt>
                <c:pt idx="1">
                  <c:v>18.740417302798974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7F-4786-AFEF-FB11DB37D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103952"/>
        <c:axId val="468114832"/>
      </c:scatterChart>
      <c:valAx>
        <c:axId val="468103952"/>
        <c:scaling>
          <c:orientation val="minMax"/>
          <c:max val="2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HOURS/DAY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114832"/>
        <c:crosses val="autoZero"/>
        <c:crossBetween val="midCat"/>
        <c:majorUnit val="2"/>
      </c:valAx>
      <c:valAx>
        <c:axId val="46811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10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PB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'Calcoli Grafici'!$B$28:$B$42</c:f>
              <c:numCache>
                <c:formatCode>General</c:formatCode>
                <c:ptCount val="15"/>
                <c:pt idx="0">
                  <c:v>1500</c:v>
                </c:pt>
                <c:pt idx="1">
                  <c:v>2000</c:v>
                </c:pt>
                <c:pt idx="2">
                  <c:v>2500</c:v>
                </c:pt>
                <c:pt idx="3">
                  <c:v>3000</c:v>
                </c:pt>
                <c:pt idx="4">
                  <c:v>3500</c:v>
                </c:pt>
                <c:pt idx="5">
                  <c:v>4000</c:v>
                </c:pt>
                <c:pt idx="6">
                  <c:v>4500</c:v>
                </c:pt>
                <c:pt idx="7">
                  <c:v>5000</c:v>
                </c:pt>
                <c:pt idx="8">
                  <c:v>5500</c:v>
                </c:pt>
                <c:pt idx="9">
                  <c:v>6000</c:v>
                </c:pt>
                <c:pt idx="10">
                  <c:v>6500</c:v>
                </c:pt>
                <c:pt idx="11">
                  <c:v>7000</c:v>
                </c:pt>
                <c:pt idx="12">
                  <c:v>7500</c:v>
                </c:pt>
                <c:pt idx="13">
                  <c:v>8000</c:v>
                </c:pt>
                <c:pt idx="14">
                  <c:v>8500</c:v>
                </c:pt>
              </c:numCache>
            </c:numRef>
          </c:xVal>
          <c:yVal>
            <c:numRef>
              <c:f>'Calcoli Grafici'!$E$28:$E$42</c:f>
              <c:numCache>
                <c:formatCode>0.0</c:formatCode>
                <c:ptCount val="15"/>
                <c:pt idx="0">
                  <c:v>99.94889228159451</c:v>
                </c:pt>
                <c:pt idx="1">
                  <c:v>74.961669211195954</c:v>
                </c:pt>
                <c:pt idx="2">
                  <c:v>59.969335368956763</c:v>
                </c:pt>
                <c:pt idx="3">
                  <c:v>49.974446140797255</c:v>
                </c:pt>
                <c:pt idx="4">
                  <c:v>42.835239549254801</c:v>
                </c:pt>
                <c:pt idx="5">
                  <c:v>37.480834605597977</c:v>
                </c:pt>
                <c:pt idx="6">
                  <c:v>33.316297427198194</c:v>
                </c:pt>
                <c:pt idx="7">
                  <c:v>29.984667684478381</c:v>
                </c:pt>
                <c:pt idx="8">
                  <c:v>27.258788804071237</c:v>
                </c:pt>
                <c:pt idx="9">
                  <c:v>24.987223070398628</c:v>
                </c:pt>
                <c:pt idx="10">
                  <c:v>23.06512898806028</c:v>
                </c:pt>
                <c:pt idx="11">
                  <c:v>21.417619774627401</c:v>
                </c:pt>
                <c:pt idx="12">
                  <c:v>19.989778456318906</c:v>
                </c:pt>
                <c:pt idx="13">
                  <c:v>18.740417302798988</c:v>
                </c:pt>
                <c:pt idx="14">
                  <c:v>17.638039814399043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B6-4BB5-BDED-E0ACDD57FC22}"/>
            </c:ext>
          </c:extLst>
        </c:ser>
        <c:ser>
          <c:idx val="1"/>
          <c:order val="1"/>
          <c:tx>
            <c:v>limit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dLbls>
            <c:dLbl>
              <c:idx val="0"/>
              <c:layout>
                <c:manualLayout>
                  <c:x val="-2.2736471023694572E-2"/>
                  <c:y val="-4.8826294689755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B6-4BB5-BDED-E0ACDD57FC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B6-4BB5-BDED-E0ACDD57FC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'Calcoli Grafici'!$G$2:$G$3</c:f>
              <c:numCache>
                <c:formatCode>General</c:formatCode>
                <c:ptCount val="2"/>
                <c:pt idx="0">
                  <c:v>1500</c:v>
                </c:pt>
                <c:pt idx="1">
                  <c:v>9000</c:v>
                </c:pt>
              </c:numCache>
            </c:numRef>
          </c:xVal>
          <c:yVal>
            <c:numRef>
              <c:f>'Calcoli Grafici'!$I$2:$I$3</c:f>
              <c:numCache>
                <c:formatCode>0.0</c:formatCode>
                <c:ptCount val="2"/>
                <c:pt idx="0">
                  <c:v>18.740417302798974</c:v>
                </c:pt>
                <c:pt idx="1">
                  <c:v>18.740417302798974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B6-4BB5-BDED-E0ACDD57F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118096"/>
        <c:axId val="468116464"/>
      </c:scatterChart>
      <c:valAx>
        <c:axId val="468118096"/>
        <c:scaling>
          <c:orientation val="minMax"/>
          <c:max val="9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HOURS/YEARS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116464"/>
        <c:crosses val="autoZero"/>
        <c:crossBetween val="midCat"/>
        <c:majorUnit val="1000"/>
      </c:valAx>
      <c:valAx>
        <c:axId val="46811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118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PB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'Calcoli Grafici'!$B$47:$B$67</c:f>
              <c:numCache>
                <c:formatCode>_-"€"\ * #,##0.00_-;\-"€"\ * #,##0.00_-;_-"€"\ * "-"??_-;_-@_-</c:formatCode>
                <c:ptCount val="21"/>
                <c:pt idx="0">
                  <c:v>0.05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0.09</c:v>
                </c:pt>
                <c:pt idx="5">
                  <c:v>9.9999999999999992E-2</c:v>
                </c:pt>
                <c:pt idx="6">
                  <c:v>0.10999999999999999</c:v>
                </c:pt>
                <c:pt idx="7">
                  <c:v>0.11999999999999998</c:v>
                </c:pt>
                <c:pt idx="8">
                  <c:v>0.12999999999999998</c:v>
                </c:pt>
                <c:pt idx="9">
                  <c:v>0.13999999999999999</c:v>
                </c:pt>
                <c:pt idx="10">
                  <c:v>0.15</c:v>
                </c:pt>
                <c:pt idx="11">
                  <c:v>0.16</c:v>
                </c:pt>
                <c:pt idx="12">
                  <c:v>0.17</c:v>
                </c:pt>
                <c:pt idx="13">
                  <c:v>0.18000000000000002</c:v>
                </c:pt>
                <c:pt idx="14">
                  <c:v>0.19000000000000003</c:v>
                </c:pt>
                <c:pt idx="15">
                  <c:v>0.20000000000000004</c:v>
                </c:pt>
                <c:pt idx="16">
                  <c:v>0.21000000000000005</c:v>
                </c:pt>
                <c:pt idx="17">
                  <c:v>0.22000000000000006</c:v>
                </c:pt>
                <c:pt idx="18">
                  <c:v>0.23000000000000007</c:v>
                </c:pt>
                <c:pt idx="19">
                  <c:v>0.24000000000000007</c:v>
                </c:pt>
                <c:pt idx="20">
                  <c:v>0.25000000000000006</c:v>
                </c:pt>
              </c:numCache>
            </c:numRef>
          </c:xVal>
          <c:yVal>
            <c:numRef>
              <c:f>'Calcoli Grafici'!$E$47:$E$67</c:f>
              <c:numCache>
                <c:formatCode>0.0</c:formatCode>
                <c:ptCount val="21"/>
                <c:pt idx="0">
                  <c:v>56.221251908396965</c:v>
                </c:pt>
                <c:pt idx="1">
                  <c:v>46.851043256997464</c:v>
                </c:pt>
                <c:pt idx="2">
                  <c:v>40.158037077426442</c:v>
                </c:pt>
                <c:pt idx="3">
                  <c:v>35.138282442748093</c:v>
                </c:pt>
                <c:pt idx="4">
                  <c:v>31.234028837998295</c:v>
                </c:pt>
                <c:pt idx="5">
                  <c:v>28.110625954198483</c:v>
                </c:pt>
                <c:pt idx="6">
                  <c:v>25.555114503816803</c:v>
                </c:pt>
                <c:pt idx="7">
                  <c:v>23.425521628498753</c:v>
                </c:pt>
                <c:pt idx="8">
                  <c:v>21.623558426306516</c:v>
                </c:pt>
                <c:pt idx="9">
                  <c:v>20.079018538713221</c:v>
                </c:pt>
                <c:pt idx="10">
                  <c:v>18.740417302798988</c:v>
                </c:pt>
                <c:pt idx="11">
                  <c:v>17.569141221374046</c:v>
                </c:pt>
                <c:pt idx="12">
                  <c:v>16.535662325999098</c:v>
                </c:pt>
                <c:pt idx="13">
                  <c:v>15.617014418999155</c:v>
                </c:pt>
                <c:pt idx="14">
                  <c:v>14.795066291683398</c:v>
                </c:pt>
                <c:pt idx="15">
                  <c:v>14.055312977099236</c:v>
                </c:pt>
                <c:pt idx="16">
                  <c:v>13.386012359142129</c:v>
                </c:pt>
                <c:pt idx="17">
                  <c:v>12.777557251908391</c:v>
                </c:pt>
                <c:pt idx="18">
                  <c:v>12.222011284434112</c:v>
                </c:pt>
                <c:pt idx="19">
                  <c:v>11.712760814249366</c:v>
                </c:pt>
                <c:pt idx="20">
                  <c:v>11.24425038167939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07-404C-8689-6D287D02F2CC}"/>
            </c:ext>
          </c:extLst>
        </c:ser>
        <c:ser>
          <c:idx val="1"/>
          <c:order val="1"/>
          <c:tx>
            <c:v>LIM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807-404C-8689-6D287D02F2CC}"/>
              </c:ext>
            </c:extLst>
          </c:dPt>
          <c:dLbls>
            <c:dLbl>
              <c:idx val="0"/>
              <c:layout>
                <c:manualLayout>
                  <c:x val="-8.4759577289973461E-3"/>
                  <c:y val="-4.6150421909943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07-404C-8689-6D287D02F2C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07-404C-8689-6D287D02F2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'Calcoli Grafici'!$F$2:$F$3</c:f>
              <c:numCache>
                <c:formatCode>_-"€"\ * #,##0.00_-;\-"€"\ * #,##0.00_-;_-"€"\ * "-"??_-;_-@_-</c:formatCode>
                <c:ptCount val="2"/>
                <c:pt idx="0">
                  <c:v>0.05</c:v>
                </c:pt>
                <c:pt idx="1">
                  <c:v>0.25</c:v>
                </c:pt>
              </c:numCache>
            </c:numRef>
          </c:xVal>
          <c:yVal>
            <c:numRef>
              <c:f>'Calcoli Grafici'!$I$2:$I$3</c:f>
              <c:numCache>
                <c:formatCode>0.0</c:formatCode>
                <c:ptCount val="2"/>
                <c:pt idx="0">
                  <c:v>18.740417302798974</c:v>
                </c:pt>
                <c:pt idx="1">
                  <c:v>18.740417302798974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07-404C-8689-6D287D02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107216"/>
        <c:axId val="468107760"/>
      </c:scatterChart>
      <c:valAx>
        <c:axId val="468107216"/>
        <c:scaling>
          <c:orientation val="minMax"/>
          <c:max val="0.25"/>
          <c:min val="5.000000000000001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€/kWh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107760"/>
        <c:crosses val="autoZero"/>
        <c:crossBetween val="midCat"/>
        <c:majorUnit val="2.0000000000000004E-2"/>
      </c:valAx>
      <c:valAx>
        <c:axId val="4681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107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2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498328</xdr:colOff>
      <xdr:row>1</xdr:row>
      <xdr:rowOff>113578</xdr:rowOff>
    </xdr:from>
    <xdr:to>
      <xdr:col>10</xdr:col>
      <xdr:colOff>36475</xdr:colOff>
      <xdr:row>8</xdr:row>
      <xdr:rowOff>31461</xdr:rowOff>
    </xdr:to>
    <xdr:pic>
      <xdr:nvPicPr>
        <xdr:cNvPr id="3" name="Immagine 2" descr="Cemp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446" t="6842" r="4728" b="7552"/>
        <a:stretch>
          <a:fillRect/>
        </a:stretch>
      </xdr:blipFill>
      <xdr:spPr>
        <a:xfrm>
          <a:off x="2403328" y="269442"/>
          <a:ext cx="1668283" cy="1012103"/>
        </a:xfrm>
        <a:prstGeom prst="rect">
          <a:avLst/>
        </a:prstGeom>
      </xdr:spPr>
    </xdr:pic>
    <xdr:clientData/>
  </xdr:twoCellAnchor>
  <xdr:twoCellAnchor>
    <xdr:from>
      <xdr:col>1</xdr:col>
      <xdr:colOff>8659</xdr:colOff>
      <xdr:row>76</xdr:row>
      <xdr:rowOff>17317</xdr:rowOff>
    </xdr:from>
    <xdr:to>
      <xdr:col>15</xdr:col>
      <xdr:colOff>432955</xdr:colOff>
      <xdr:row>95</xdr:row>
      <xdr:rowOff>173181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8659</xdr:colOff>
      <xdr:row>95</xdr:row>
      <xdr:rowOff>173181</xdr:rowOff>
    </xdr:from>
    <xdr:to>
      <xdr:col>15</xdr:col>
      <xdr:colOff>432955</xdr:colOff>
      <xdr:row>113</xdr:row>
      <xdr:rowOff>17318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8658</xdr:colOff>
      <xdr:row>113</xdr:row>
      <xdr:rowOff>17318</xdr:rowOff>
    </xdr:from>
    <xdr:to>
      <xdr:col>15</xdr:col>
      <xdr:colOff>432954</xdr:colOff>
      <xdr:row>128</xdr:row>
      <xdr:rowOff>173180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209550</xdr:colOff>
      <xdr:row>2</xdr:row>
      <xdr:rowOff>47625</xdr:rowOff>
    </xdr:from>
    <xdr:to>
      <xdr:col>5</xdr:col>
      <xdr:colOff>238124</xdr:colOff>
      <xdr:row>7</xdr:row>
      <xdr:rowOff>47624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63421663-AC6A-440A-BDB7-C8844C5E3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52425"/>
          <a:ext cx="1571624" cy="761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W153"/>
  <sheetViews>
    <sheetView windowProtection="1" tabSelected="1" zoomScaleNormal="100" zoomScaleSheetLayoutView="120" workbookViewId="0">
      <selection activeCell="N4" sqref="N4:P4"/>
    </sheetView>
  </sheetViews>
  <sheetFormatPr defaultColWidth="9.140625" defaultRowHeight="15" x14ac:dyDescent="0.25"/>
  <cols>
    <col min="1" max="1" width="1.7109375" style="82" customWidth="1"/>
    <col min="2" max="2" width="5.7109375" style="82" customWidth="1"/>
    <col min="3" max="3" width="7.5703125" style="82" customWidth="1"/>
    <col min="4" max="4" width="6.140625" style="82" customWidth="1"/>
    <col min="5" max="6" width="3.7109375" style="82" customWidth="1"/>
    <col min="7" max="7" width="10.7109375" style="82" customWidth="1"/>
    <col min="8" max="8" width="4.85546875" style="82" customWidth="1"/>
    <col min="9" max="9" width="8.28515625" style="82" customWidth="1"/>
    <col min="10" max="10" width="8" style="82" customWidth="1"/>
    <col min="11" max="11" width="8.7109375" style="82" customWidth="1"/>
    <col min="12" max="12" width="3.42578125" style="82" customWidth="1"/>
    <col min="13" max="13" width="6.7109375" style="82" customWidth="1"/>
    <col min="14" max="15" width="4.5703125" style="82" customWidth="1"/>
    <col min="16" max="16" width="7.5703125" style="82" customWidth="1"/>
    <col min="17" max="17" width="1.7109375" style="82" customWidth="1"/>
    <col min="18" max="20" width="9.140625" style="82"/>
    <col min="21" max="21" width="32.7109375" style="82" customWidth="1"/>
    <col min="22" max="22" width="11.5703125" style="82" bestFit="1" customWidth="1"/>
    <col min="23" max="16384" width="9.140625" style="82"/>
  </cols>
  <sheetData>
    <row r="1" spans="1:17" ht="12" customHeight="1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7" ht="12" customHeight="1" x14ac:dyDescent="0.25">
      <c r="A2" s="81"/>
      <c r="B2" s="83"/>
      <c r="C2" s="84"/>
      <c r="D2" s="84"/>
      <c r="E2" s="84"/>
      <c r="F2" s="85"/>
      <c r="G2" s="86"/>
      <c r="H2" s="85"/>
      <c r="I2" s="85"/>
      <c r="J2" s="85"/>
      <c r="K2" s="85"/>
      <c r="L2" s="85"/>
      <c r="M2" s="85"/>
      <c r="N2" s="85"/>
      <c r="O2" s="85"/>
      <c r="P2" s="87"/>
      <c r="Q2" s="81"/>
    </row>
    <row r="3" spans="1:17" ht="12" customHeight="1" x14ac:dyDescent="0.25">
      <c r="A3" s="81"/>
      <c r="B3" s="88"/>
      <c r="C3" s="89"/>
      <c r="D3" s="89"/>
      <c r="E3" s="89"/>
      <c r="F3" s="90"/>
      <c r="G3" s="91"/>
      <c r="H3" s="90"/>
      <c r="I3" s="90"/>
      <c r="J3" s="90"/>
      <c r="K3" s="90"/>
      <c r="L3" s="90"/>
      <c r="M3" s="90"/>
      <c r="N3" s="90"/>
      <c r="O3" s="90"/>
      <c r="P3" s="92"/>
      <c r="Q3" s="81"/>
    </row>
    <row r="4" spans="1:17" ht="12" customHeight="1" x14ac:dyDescent="0.25">
      <c r="A4" s="81"/>
      <c r="B4" s="88"/>
      <c r="C4" s="89"/>
      <c r="D4" s="89"/>
      <c r="E4" s="89"/>
      <c r="F4" s="90"/>
      <c r="G4" s="91"/>
      <c r="H4" s="90"/>
      <c r="I4" s="90"/>
      <c r="J4" s="90"/>
      <c r="K4" s="90"/>
      <c r="L4" s="90"/>
      <c r="M4" s="189" t="s">
        <v>102</v>
      </c>
      <c r="N4" s="241"/>
      <c r="O4" s="241"/>
      <c r="P4" s="242"/>
      <c r="Q4" s="81"/>
    </row>
    <row r="5" spans="1:17" ht="12" customHeight="1" x14ac:dyDescent="0.25">
      <c r="A5" s="81"/>
      <c r="B5" s="88"/>
      <c r="C5" s="89"/>
      <c r="D5" s="89"/>
      <c r="E5" s="89"/>
      <c r="F5" s="90"/>
      <c r="G5" s="91"/>
      <c r="H5" s="90"/>
      <c r="I5" s="90"/>
      <c r="J5" s="90"/>
      <c r="K5" s="90"/>
      <c r="L5" s="90"/>
      <c r="M5" s="90"/>
      <c r="N5" s="90"/>
      <c r="O5" s="90"/>
      <c r="P5" s="92"/>
      <c r="Q5" s="81"/>
    </row>
    <row r="6" spans="1:17" ht="12" customHeight="1" x14ac:dyDescent="0.25">
      <c r="A6" s="81"/>
      <c r="B6" s="88"/>
      <c r="C6" s="90"/>
      <c r="D6" s="90"/>
      <c r="E6" s="90"/>
      <c r="F6" s="90"/>
      <c r="G6" s="91"/>
      <c r="H6" s="90"/>
      <c r="I6" s="90"/>
      <c r="J6" s="90"/>
      <c r="K6" s="90"/>
      <c r="L6" s="90"/>
      <c r="M6" s="189" t="s">
        <v>103</v>
      </c>
      <c r="N6" s="241"/>
      <c r="O6" s="241"/>
      <c r="P6" s="242"/>
      <c r="Q6" s="81"/>
    </row>
    <row r="7" spans="1:17" ht="12" customHeight="1" x14ac:dyDescent="0.25">
      <c r="A7" s="81"/>
      <c r="B7" s="88"/>
      <c r="C7" s="90"/>
      <c r="D7" s="90"/>
      <c r="E7" s="90"/>
      <c r="F7" s="90"/>
      <c r="G7" s="91"/>
      <c r="H7" s="90"/>
      <c r="I7" s="90"/>
      <c r="J7" s="90"/>
      <c r="K7" s="90"/>
      <c r="L7" s="90"/>
      <c r="M7" s="90"/>
      <c r="N7" s="90"/>
      <c r="O7" s="90"/>
      <c r="P7" s="92"/>
      <c r="Q7" s="81"/>
    </row>
    <row r="8" spans="1:17" ht="12" customHeight="1" x14ac:dyDescent="0.25">
      <c r="A8" s="81"/>
      <c r="B8" s="88"/>
      <c r="C8" s="90"/>
      <c r="D8" s="90"/>
      <c r="E8" s="90"/>
      <c r="F8" s="90"/>
      <c r="G8" s="91"/>
      <c r="H8" s="90"/>
      <c r="I8" s="90"/>
      <c r="J8" s="90"/>
      <c r="K8" s="90"/>
      <c r="L8" s="90"/>
      <c r="M8" s="189" t="s">
        <v>104</v>
      </c>
      <c r="N8" s="243"/>
      <c r="O8" s="241"/>
      <c r="P8" s="242"/>
      <c r="Q8" s="81"/>
    </row>
    <row r="9" spans="1:17" ht="12" customHeight="1" x14ac:dyDescent="0.25">
      <c r="A9" s="81"/>
      <c r="B9" s="88"/>
      <c r="C9" s="90"/>
      <c r="D9" s="90"/>
      <c r="E9" s="90"/>
      <c r="F9" s="90"/>
      <c r="G9" s="91"/>
      <c r="H9" s="90"/>
      <c r="I9" s="90"/>
      <c r="J9" s="90"/>
      <c r="K9" s="90"/>
      <c r="L9" s="90"/>
      <c r="M9" s="90"/>
      <c r="N9" s="90"/>
      <c r="O9" s="90"/>
      <c r="P9" s="92"/>
      <c r="Q9" s="81"/>
    </row>
    <row r="10" spans="1:17" ht="15" customHeight="1" x14ac:dyDescent="0.3">
      <c r="A10" s="81"/>
      <c r="B10" s="238" t="s">
        <v>92</v>
      </c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40"/>
      <c r="Q10" s="81"/>
    </row>
    <row r="11" spans="1:17" ht="10.5" customHeight="1" x14ac:dyDescent="0.25">
      <c r="A11" s="81"/>
      <c r="B11" s="235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7"/>
      <c r="Q11" s="81"/>
    </row>
    <row r="12" spans="1:17" ht="12" customHeight="1" x14ac:dyDescent="0.25">
      <c r="A12" s="81"/>
      <c r="B12" s="226" t="s">
        <v>98</v>
      </c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8"/>
      <c r="Q12" s="81"/>
    </row>
    <row r="13" spans="1:17" ht="12" customHeight="1" thickBot="1" x14ac:dyDescent="0.3">
      <c r="A13" s="81"/>
      <c r="B13" s="93"/>
      <c r="C13" s="94"/>
      <c r="D13" s="94"/>
      <c r="E13" s="94"/>
      <c r="F13" s="94"/>
      <c r="G13" s="95"/>
      <c r="H13" s="94"/>
      <c r="I13" s="96" t="str">
        <f>IF(G14="","TO FILL QUANTITY MOTORS","")</f>
        <v/>
      </c>
      <c r="J13" s="97"/>
      <c r="K13" s="94"/>
      <c r="L13" s="94"/>
      <c r="M13" s="94"/>
      <c r="N13" s="94"/>
      <c r="O13" s="98"/>
      <c r="P13" s="99"/>
      <c r="Q13" s="81"/>
    </row>
    <row r="14" spans="1:17" ht="12" customHeight="1" thickBot="1" x14ac:dyDescent="0.3">
      <c r="A14" s="81"/>
      <c r="B14" s="93"/>
      <c r="C14" s="94" t="s">
        <v>73</v>
      </c>
      <c r="D14" s="94"/>
      <c r="E14" s="94"/>
      <c r="F14" s="94"/>
      <c r="G14" s="187">
        <v>1</v>
      </c>
      <c r="H14" s="94"/>
      <c r="I14" s="94"/>
      <c r="J14" s="97"/>
      <c r="K14" s="94"/>
      <c r="L14" s="94"/>
      <c r="M14" s="94"/>
      <c r="N14" s="94"/>
      <c r="O14" s="98"/>
      <c r="P14" s="99"/>
      <c r="Q14" s="81"/>
    </row>
    <row r="15" spans="1:17" ht="6" customHeight="1" x14ac:dyDescent="0.25">
      <c r="A15" s="81"/>
      <c r="B15" s="93"/>
      <c r="C15" s="94"/>
      <c r="D15" s="94"/>
      <c r="E15" s="94"/>
      <c r="F15" s="94"/>
      <c r="G15" s="95"/>
      <c r="H15" s="94"/>
      <c r="I15" s="94"/>
      <c r="J15" s="97"/>
      <c r="K15" s="94"/>
      <c r="L15" s="94"/>
      <c r="M15" s="94"/>
      <c r="N15" s="94"/>
      <c r="O15" s="98"/>
      <c r="P15" s="99"/>
      <c r="Q15" s="81"/>
    </row>
    <row r="16" spans="1:17" ht="12" customHeight="1" thickBot="1" x14ac:dyDescent="0.3">
      <c r="A16" s="81"/>
      <c r="B16" s="100"/>
      <c r="C16" s="101"/>
      <c r="D16" s="101"/>
      <c r="E16" s="101"/>
      <c r="F16" s="101"/>
      <c r="G16" s="101"/>
      <c r="H16" s="101"/>
      <c r="I16" s="102" t="str">
        <f>IF(AND(G17="",L17=""),"TO FILL ONE POWER BOX and CHOOSE POLE AND FREQUENCY","")</f>
        <v/>
      </c>
      <c r="J16" s="103"/>
      <c r="K16" s="101"/>
      <c r="L16" s="101"/>
      <c r="M16" s="101"/>
      <c r="N16" s="101"/>
      <c r="O16" s="101"/>
      <c r="P16" s="105"/>
      <c r="Q16" s="81"/>
    </row>
    <row r="17" spans="1:23" ht="12" customHeight="1" thickBot="1" x14ac:dyDescent="0.3">
      <c r="A17" s="81"/>
      <c r="B17" s="106"/>
      <c r="C17" s="94" t="s">
        <v>74</v>
      </c>
      <c r="D17" s="94"/>
      <c r="E17" s="94"/>
      <c r="F17" s="94"/>
      <c r="G17" s="187">
        <v>0.18</v>
      </c>
      <c r="H17" s="107" t="s">
        <v>57</v>
      </c>
      <c r="I17" s="108"/>
      <c r="J17" s="94"/>
      <c r="K17" s="151"/>
      <c r="L17" s="151" t="s">
        <v>110</v>
      </c>
      <c r="M17" s="220" t="s">
        <v>28</v>
      </c>
      <c r="N17" s="221"/>
      <c r="O17" s="109"/>
      <c r="P17" s="110"/>
      <c r="Q17" s="81"/>
    </row>
    <row r="18" spans="1:23" ht="12" customHeight="1" thickBot="1" x14ac:dyDescent="0.3">
      <c r="A18" s="81"/>
      <c r="B18" s="93"/>
      <c r="C18" s="94"/>
      <c r="D18" s="94"/>
      <c r="E18" s="94"/>
      <c r="F18" s="94"/>
      <c r="G18" s="95"/>
      <c r="H18" s="94"/>
      <c r="I18" s="94"/>
      <c r="J18" s="94"/>
      <c r="K18" s="94"/>
      <c r="L18" s="94"/>
      <c r="M18" s="94"/>
      <c r="N18" s="94"/>
      <c r="O18" s="111"/>
      <c r="P18" s="112"/>
      <c r="Q18" s="81"/>
    </row>
    <row r="19" spans="1:23" ht="12" customHeight="1" thickBot="1" x14ac:dyDescent="0.3">
      <c r="A19" s="81"/>
      <c r="B19" s="113"/>
      <c r="C19" s="94" t="s">
        <v>55</v>
      </c>
      <c r="D19" s="94"/>
      <c r="E19" s="94"/>
      <c r="F19" s="94"/>
      <c r="G19" s="187">
        <v>2</v>
      </c>
      <c r="H19" s="94"/>
      <c r="I19" s="94"/>
      <c r="J19" s="94"/>
      <c r="K19" s="94"/>
      <c r="L19" s="151" t="s">
        <v>111</v>
      </c>
      <c r="M19" s="220" t="s">
        <v>75</v>
      </c>
      <c r="N19" s="221"/>
      <c r="O19" s="111"/>
      <c r="P19" s="112"/>
      <c r="Q19" s="81"/>
    </row>
    <row r="20" spans="1:23" ht="12" customHeight="1" thickBot="1" x14ac:dyDescent="0.3">
      <c r="A20" s="81"/>
      <c r="B20" s="106"/>
      <c r="C20" s="94"/>
      <c r="D20" s="94"/>
      <c r="E20" s="94"/>
      <c r="F20" s="94"/>
      <c r="G20" s="95"/>
      <c r="H20" s="94"/>
      <c r="I20" s="94"/>
      <c r="J20" s="94"/>
      <c r="K20" s="94"/>
      <c r="L20" s="94"/>
      <c r="M20" s="94"/>
      <c r="N20" s="94"/>
      <c r="O20" s="94"/>
      <c r="P20" s="99"/>
      <c r="Q20" s="81"/>
    </row>
    <row r="21" spans="1:23" ht="12" customHeight="1" thickBot="1" x14ac:dyDescent="0.3">
      <c r="A21" s="81"/>
      <c r="B21" s="93"/>
      <c r="C21" s="94" t="s">
        <v>56</v>
      </c>
      <c r="D21" s="94"/>
      <c r="E21" s="94"/>
      <c r="F21" s="94"/>
      <c r="G21" s="187">
        <v>50</v>
      </c>
      <c r="H21" s="94" t="s">
        <v>29</v>
      </c>
      <c r="I21" s="94"/>
      <c r="J21" s="97"/>
      <c r="K21" s="94"/>
      <c r="L21" s="94"/>
      <c r="M21" s="94"/>
      <c r="N21" s="94"/>
      <c r="O21" s="94"/>
      <c r="P21" s="99"/>
      <c r="Q21" s="81"/>
    </row>
    <row r="22" spans="1:23" ht="12" customHeight="1" x14ac:dyDescent="0.25">
      <c r="A22" s="81"/>
      <c r="B22" s="114"/>
      <c r="C22" s="115"/>
      <c r="D22" s="115"/>
      <c r="E22" s="115"/>
      <c r="F22" s="115"/>
      <c r="G22" s="116"/>
      <c r="H22" s="115"/>
      <c r="I22" s="115"/>
      <c r="J22" s="117"/>
      <c r="K22" s="115"/>
      <c r="L22" s="115"/>
      <c r="M22" s="115"/>
      <c r="N22" s="115"/>
      <c r="O22" s="119"/>
      <c r="P22" s="120"/>
      <c r="Q22" s="81"/>
    </row>
    <row r="23" spans="1:23" ht="12" customHeight="1" x14ac:dyDescent="0.25">
      <c r="A23" s="81"/>
      <c r="B23" s="106"/>
      <c r="C23" s="94"/>
      <c r="D23" s="94"/>
      <c r="E23" s="94"/>
      <c r="F23" s="94"/>
      <c r="G23" s="94"/>
      <c r="H23" s="94"/>
      <c r="I23" s="96" t="s">
        <v>97</v>
      </c>
      <c r="J23" s="94"/>
      <c r="K23" s="94"/>
      <c r="L23" s="94"/>
      <c r="M23" s="94"/>
      <c r="N23" s="94"/>
      <c r="O23" s="94"/>
      <c r="P23" s="99"/>
      <c r="Q23" s="81"/>
    </row>
    <row r="24" spans="1:23" ht="2.25" customHeight="1" thickBot="1" x14ac:dyDescent="0.3">
      <c r="A24" s="81"/>
      <c r="B24" s="106"/>
      <c r="C24" s="94"/>
      <c r="D24" s="94"/>
      <c r="E24" s="94"/>
      <c r="F24" s="94"/>
      <c r="G24" s="94"/>
      <c r="H24" s="94"/>
      <c r="I24" s="96"/>
      <c r="J24" s="94"/>
      <c r="K24" s="94"/>
      <c r="L24" s="94"/>
      <c r="M24" s="94"/>
      <c r="N24" s="94"/>
      <c r="O24" s="94"/>
      <c r="P24" s="99"/>
      <c r="Q24" s="81"/>
    </row>
    <row r="25" spans="1:23" ht="12" customHeight="1" thickBot="1" x14ac:dyDescent="0.3">
      <c r="A25" s="81"/>
      <c r="B25" s="93"/>
      <c r="C25" s="94" t="s">
        <v>58</v>
      </c>
      <c r="D25" s="94"/>
      <c r="E25" s="94"/>
      <c r="F25" s="94"/>
      <c r="G25" s="187"/>
      <c r="H25" s="121" t="s">
        <v>6</v>
      </c>
      <c r="I25" s="94"/>
      <c r="J25" s="122" t="s">
        <v>68</v>
      </c>
      <c r="K25" s="94"/>
      <c r="L25" s="220">
        <v>8000</v>
      </c>
      <c r="M25" s="229"/>
      <c r="N25" s="221"/>
      <c r="O25" s="121" t="s">
        <v>7</v>
      </c>
      <c r="P25" s="99"/>
      <c r="Q25" s="81"/>
    </row>
    <row r="26" spans="1:23" ht="6" customHeight="1" x14ac:dyDescent="0.25">
      <c r="A26" s="81"/>
      <c r="B26" s="123"/>
      <c r="C26" s="97"/>
      <c r="D26" s="97"/>
      <c r="E26" s="97"/>
      <c r="F26" s="97"/>
      <c r="G26" s="94"/>
      <c r="H26" s="121"/>
      <c r="I26" s="124"/>
      <c r="J26" s="125"/>
      <c r="K26" s="126"/>
      <c r="L26" s="126"/>
      <c r="M26" s="126"/>
      <c r="N26" s="126"/>
      <c r="O26" s="127"/>
      <c r="P26" s="128"/>
      <c r="Q26" s="81"/>
    </row>
    <row r="27" spans="1:23" ht="12" customHeight="1" thickBot="1" x14ac:dyDescent="0.3">
      <c r="A27" s="81"/>
      <c r="B27" s="129"/>
      <c r="C27" s="103"/>
      <c r="D27" s="103"/>
      <c r="E27" s="103"/>
      <c r="F27" s="103"/>
      <c r="G27" s="130"/>
      <c r="H27" s="131"/>
      <c r="I27" s="132" t="str">
        <f>IF(G28="","TO FILL  ENERGY COST","")</f>
        <v/>
      </c>
      <c r="J27" s="133"/>
      <c r="K27" s="103"/>
      <c r="L27" s="103"/>
      <c r="M27" s="103"/>
      <c r="N27" s="103"/>
      <c r="O27" s="133"/>
      <c r="P27" s="134"/>
      <c r="Q27" s="81"/>
    </row>
    <row r="28" spans="1:23" ht="12" customHeight="1" thickBot="1" x14ac:dyDescent="0.3">
      <c r="A28" s="81"/>
      <c r="B28" s="123"/>
      <c r="C28" s="94" t="s">
        <v>2</v>
      </c>
      <c r="D28" s="97"/>
      <c r="E28" s="97"/>
      <c r="F28" s="97"/>
      <c r="G28" s="187">
        <v>0.15</v>
      </c>
      <c r="H28" s="135" t="s">
        <v>59</v>
      </c>
      <c r="I28" s="127"/>
      <c r="J28" s="125"/>
      <c r="K28" s="97"/>
      <c r="L28" s="97"/>
      <c r="M28" s="97"/>
      <c r="N28" s="97"/>
      <c r="O28" s="125"/>
      <c r="P28" s="136"/>
      <c r="Q28" s="81"/>
    </row>
    <row r="29" spans="1:23" ht="12" customHeight="1" x14ac:dyDescent="0.25">
      <c r="A29" s="81"/>
      <c r="B29" s="123"/>
      <c r="C29" s="97"/>
      <c r="D29" s="97"/>
      <c r="E29" s="97"/>
      <c r="F29" s="97"/>
      <c r="G29" s="137"/>
      <c r="H29" s="127"/>
      <c r="I29" s="127"/>
      <c r="J29" s="125"/>
      <c r="K29" s="97"/>
      <c r="L29" s="97"/>
      <c r="M29" s="97"/>
      <c r="N29" s="97"/>
      <c r="O29" s="125"/>
      <c r="P29" s="136"/>
      <c r="Q29" s="81"/>
      <c r="V29" s="75"/>
      <c r="W29" s="75"/>
    </row>
    <row r="30" spans="1:23" ht="12" customHeight="1" x14ac:dyDescent="0.25">
      <c r="A30" s="81"/>
      <c r="B30" s="203" t="s">
        <v>99</v>
      </c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5"/>
      <c r="Q30" s="81"/>
      <c r="V30" s="75"/>
      <c r="W30" s="75"/>
    </row>
    <row r="31" spans="1:23" ht="5.25" customHeight="1" x14ac:dyDescent="0.25">
      <c r="A31" s="81"/>
      <c r="B31" s="123"/>
      <c r="C31" s="126"/>
      <c r="D31" s="126"/>
      <c r="E31" s="126"/>
      <c r="F31" s="126"/>
      <c r="G31" s="138"/>
      <c r="H31" s="139"/>
      <c r="I31" s="127"/>
      <c r="J31" s="125"/>
      <c r="K31" s="97"/>
      <c r="L31" s="97"/>
      <c r="M31" s="97"/>
      <c r="N31" s="97"/>
      <c r="O31" s="125"/>
      <c r="P31" s="136"/>
      <c r="Q31" s="81"/>
      <c r="V31" s="75" t="s">
        <v>66</v>
      </c>
      <c r="W31" s="75" t="s">
        <v>67</v>
      </c>
    </row>
    <row r="32" spans="1:23" ht="12" customHeight="1" x14ac:dyDescent="0.25">
      <c r="A32" s="81"/>
      <c r="B32" s="123"/>
      <c r="C32" s="97"/>
      <c r="D32" s="97"/>
      <c r="E32" s="97"/>
      <c r="F32" s="97"/>
      <c r="G32" s="224" t="str">
        <f>M17</f>
        <v>IE1</v>
      </c>
      <c r="H32" s="224"/>
      <c r="I32" s="224"/>
      <c r="J32" s="137"/>
      <c r="K32" s="225" t="str">
        <f>M19</f>
        <v>IE3</v>
      </c>
      <c r="L32" s="225"/>
      <c r="M32" s="225"/>
      <c r="N32" s="225"/>
      <c r="O32" s="125"/>
      <c r="P32" s="136"/>
      <c r="Q32" s="81"/>
      <c r="V32" s="76" t="e">
        <f>IF(front!G21=50,IF(front!G19=2,calcoli!AG21,IF(front!G19=4,calcoli!AH21,IF(front!G19=6,calcoli!AI21))))</f>
        <v>#VALUE!</v>
      </c>
      <c r="W32" s="76" t="e">
        <f>IF(front!G21=50,IF(front!G19=2,calcoli!AG26,IF(front!G19=4,calcoli!AH26,IF(front!G19=6,calcoli!AI26))))</f>
        <v>#VALUE!</v>
      </c>
    </row>
    <row r="33" spans="1:23" ht="12" customHeight="1" thickBot="1" x14ac:dyDescent="0.3">
      <c r="A33" s="81"/>
      <c r="B33" s="123"/>
      <c r="C33" s="97"/>
      <c r="D33" s="97"/>
      <c r="E33" s="97"/>
      <c r="F33" s="97"/>
      <c r="G33" s="125"/>
      <c r="H33" s="140"/>
      <c r="I33" s="140"/>
      <c r="J33" s="125"/>
      <c r="K33" s="125"/>
      <c r="L33" s="125"/>
      <c r="M33" s="125"/>
      <c r="N33" s="125"/>
      <c r="O33" s="125"/>
      <c r="P33" s="136"/>
      <c r="Q33" s="81"/>
      <c r="V33" s="75"/>
      <c r="W33" s="75"/>
    </row>
    <row r="34" spans="1:23" ht="12" customHeight="1" thickBot="1" x14ac:dyDescent="0.3">
      <c r="A34" s="81"/>
      <c r="B34" s="123"/>
      <c r="C34" s="141" t="s">
        <v>10</v>
      </c>
      <c r="D34" s="121"/>
      <c r="E34" s="121"/>
      <c r="F34" s="97"/>
      <c r="G34" s="232">
        <f>IF($G$21=50,VLOOKUP($G$17,'50HZ'!$A$6:$Q$36,'50HZ'!R38+1,FALSE),VLOOKUP($G$17,'60HZ'!$C$13:$S$33,'60HZ'!R40+1,FALSE))</f>
        <v>52.8</v>
      </c>
      <c r="H34" s="233"/>
      <c r="I34" s="234"/>
      <c r="J34" s="142" t="s">
        <v>63</v>
      </c>
      <c r="K34" s="232">
        <f>IF($G$21=50,VLOOKUP($G$17,'50HZ'!$A$6:$Q$36,'50HZ'!V38+1,FALSE),VLOOKUP($G$17,'60HZ'!$C$13:$S$33,'60HZ'!V40+1,FALSE))</f>
        <v>65.900000000000006</v>
      </c>
      <c r="L34" s="233"/>
      <c r="M34" s="233"/>
      <c r="N34" s="234"/>
      <c r="O34" s="143" t="s">
        <v>63</v>
      </c>
      <c r="P34" s="136"/>
      <c r="Q34" s="81"/>
    </row>
    <row r="35" spans="1:23" ht="10.5" customHeight="1" thickBot="1" x14ac:dyDescent="0.3">
      <c r="A35" s="81"/>
      <c r="B35" s="123"/>
      <c r="C35" s="97"/>
      <c r="D35" s="97"/>
      <c r="E35" s="97"/>
      <c r="F35" s="97"/>
      <c r="G35" s="125"/>
      <c r="H35" s="144"/>
      <c r="I35" s="127"/>
      <c r="J35" s="125"/>
      <c r="K35" s="97"/>
      <c r="L35" s="97"/>
      <c r="M35" s="97"/>
      <c r="N35" s="97"/>
      <c r="O35" s="125"/>
      <c r="P35" s="136"/>
      <c r="Q35" s="81"/>
    </row>
    <row r="36" spans="1:23" ht="12" customHeight="1" thickBot="1" x14ac:dyDescent="0.3">
      <c r="A36" s="81"/>
      <c r="B36" s="123"/>
      <c r="C36" s="141" t="s">
        <v>11</v>
      </c>
      <c r="D36" s="121"/>
      <c r="E36" s="121"/>
      <c r="F36" s="97"/>
      <c r="G36" s="209">
        <f>(G17/(G34/100)*IF(G25&lt;&gt;"",G25,L25))</f>
        <v>2727.272727272727</v>
      </c>
      <c r="H36" s="210"/>
      <c r="I36" s="211"/>
      <c r="J36" s="145" t="str">
        <f>CONCATENATE(IF(G25&lt;&gt;"","kWh/day", "kWh/year"))</f>
        <v>kWh/year</v>
      </c>
      <c r="K36" s="209">
        <f>(G17/(K34/100))*IF(G25&lt;&gt;"",G25,L25)</f>
        <v>2185.1289833080423</v>
      </c>
      <c r="L36" s="210"/>
      <c r="M36" s="210"/>
      <c r="N36" s="211"/>
      <c r="O36" s="146" t="str">
        <f>J36</f>
        <v>kWh/year</v>
      </c>
      <c r="P36" s="147"/>
      <c r="Q36" s="81"/>
    </row>
    <row r="37" spans="1:23" ht="10.5" customHeight="1" thickBot="1" x14ac:dyDescent="0.3">
      <c r="A37" s="81"/>
      <c r="B37" s="123"/>
      <c r="C37" s="97"/>
      <c r="D37" s="97"/>
      <c r="E37" s="97"/>
      <c r="F37" s="97"/>
      <c r="G37" s="125"/>
      <c r="H37" s="127"/>
      <c r="I37" s="127"/>
      <c r="J37" s="125"/>
      <c r="K37" s="97"/>
      <c r="L37" s="97"/>
      <c r="M37" s="97"/>
      <c r="N37" s="97"/>
      <c r="O37" s="125"/>
      <c r="P37" s="136"/>
      <c r="Q37" s="81"/>
    </row>
    <row r="38" spans="1:23" ht="12" customHeight="1" thickBot="1" x14ac:dyDescent="0.3">
      <c r="A38" s="81"/>
      <c r="B38" s="123"/>
      <c r="C38" s="141" t="s">
        <v>2</v>
      </c>
      <c r="D38" s="121"/>
      <c r="E38" s="121"/>
      <c r="F38" s="97"/>
      <c r="G38" s="209">
        <f>G28*G36</f>
        <v>409.09090909090907</v>
      </c>
      <c r="H38" s="210"/>
      <c r="I38" s="211"/>
      <c r="J38" s="142" t="s">
        <v>13</v>
      </c>
      <c r="K38" s="209">
        <f>G28*K36</f>
        <v>327.76934749620631</v>
      </c>
      <c r="L38" s="210"/>
      <c r="M38" s="210"/>
      <c r="N38" s="211"/>
      <c r="O38" s="143" t="s">
        <v>13</v>
      </c>
      <c r="P38" s="136"/>
      <c r="Q38" s="81"/>
    </row>
    <row r="39" spans="1:23" ht="10.5" customHeight="1" x14ac:dyDescent="0.25">
      <c r="A39" s="81"/>
      <c r="B39" s="123"/>
      <c r="C39" s="97"/>
      <c r="D39" s="97"/>
      <c r="E39" s="97"/>
      <c r="F39" s="97"/>
      <c r="G39" s="125"/>
      <c r="H39" s="127"/>
      <c r="I39" s="127"/>
      <c r="J39" s="125"/>
      <c r="K39" s="126"/>
      <c r="L39" s="126"/>
      <c r="M39" s="126"/>
      <c r="N39" s="126"/>
      <c r="O39" s="125"/>
      <c r="P39" s="128"/>
      <c r="Q39" s="81"/>
    </row>
    <row r="40" spans="1:23" ht="12" customHeight="1" x14ac:dyDescent="0.25">
      <c r="A40" s="81"/>
      <c r="B40" s="203" t="str">
        <f>CONCATENATE("SAVING IN ONE ",IF(G25&lt;&gt;0,"DAY","YEAR"))</f>
        <v>SAVING IN ONE YEAR</v>
      </c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5"/>
      <c r="Q40" s="81"/>
    </row>
    <row r="41" spans="1:23" ht="12" customHeight="1" x14ac:dyDescent="0.25">
      <c r="A41" s="148"/>
      <c r="B41" s="123"/>
      <c r="C41" s="97"/>
      <c r="D41" s="97"/>
      <c r="E41" s="97"/>
      <c r="F41" s="97"/>
      <c r="G41" s="149"/>
      <c r="H41" s="127"/>
      <c r="I41" s="127"/>
      <c r="J41" s="125"/>
      <c r="K41" s="97"/>
      <c r="L41" s="97"/>
      <c r="M41" s="97"/>
      <c r="N41" s="97"/>
      <c r="O41" s="125"/>
      <c r="P41" s="136"/>
      <c r="Q41" s="81"/>
    </row>
    <row r="42" spans="1:23" ht="12" customHeight="1" x14ac:dyDescent="0.25">
      <c r="A42" s="81"/>
      <c r="B42" s="123"/>
      <c r="C42" s="150"/>
      <c r="D42" s="150"/>
      <c r="E42" s="150"/>
      <c r="F42" s="97"/>
      <c r="G42" s="230" t="s">
        <v>69</v>
      </c>
      <c r="H42" s="231"/>
      <c r="I42" s="231"/>
      <c r="J42" s="125"/>
      <c r="K42" s="230" t="str">
        <f>CONCATENATE(G14," motors")</f>
        <v>1 motors</v>
      </c>
      <c r="L42" s="231"/>
      <c r="M42" s="231"/>
      <c r="N42" s="231"/>
      <c r="O42" s="125"/>
      <c r="P42" s="136"/>
      <c r="Q42" s="81"/>
    </row>
    <row r="43" spans="1:23" ht="10.5" customHeight="1" thickBot="1" x14ac:dyDescent="0.3">
      <c r="A43" s="81"/>
      <c r="B43" s="123"/>
      <c r="C43" s="97"/>
      <c r="D43" s="97"/>
      <c r="E43" s="97"/>
      <c r="F43" s="97"/>
      <c r="G43" s="151"/>
      <c r="H43" s="127"/>
      <c r="I43" s="152"/>
      <c r="J43" s="125"/>
      <c r="K43" s="97"/>
      <c r="L43" s="97"/>
      <c r="M43" s="97"/>
      <c r="N43" s="97"/>
      <c r="O43" s="149"/>
      <c r="P43" s="136"/>
      <c r="Q43" s="81"/>
    </row>
    <row r="44" spans="1:23" ht="12" customHeight="1" thickBot="1" x14ac:dyDescent="0.3">
      <c r="A44" s="81"/>
      <c r="B44" s="123"/>
      <c r="C44" s="94" t="s">
        <v>61</v>
      </c>
      <c r="D44" s="126"/>
      <c r="E44" s="126"/>
      <c r="F44" s="126"/>
      <c r="G44" s="209">
        <f>G36-K36</f>
        <v>542.14374396468475</v>
      </c>
      <c r="H44" s="210"/>
      <c r="I44" s="211"/>
      <c r="J44" s="143" t="s">
        <v>12</v>
      </c>
      <c r="K44" s="209">
        <f>G14*G44</f>
        <v>542.14374396468475</v>
      </c>
      <c r="L44" s="210"/>
      <c r="M44" s="210"/>
      <c r="N44" s="211"/>
      <c r="O44" s="143" t="s">
        <v>12</v>
      </c>
      <c r="P44" s="153"/>
      <c r="Q44" s="81"/>
    </row>
    <row r="45" spans="1:23" ht="10.5" customHeight="1" thickBot="1" x14ac:dyDescent="0.3">
      <c r="A45" s="81"/>
      <c r="B45" s="123"/>
      <c r="C45" s="97"/>
      <c r="D45" s="97"/>
      <c r="E45" s="97"/>
      <c r="F45" s="97"/>
      <c r="G45" s="154"/>
      <c r="H45" s="143"/>
      <c r="I45" s="143"/>
      <c r="J45" s="125"/>
      <c r="K45" s="97"/>
      <c r="L45" s="97"/>
      <c r="M45" s="97"/>
      <c r="N45" s="97"/>
      <c r="O45" s="125"/>
      <c r="P45" s="136"/>
      <c r="Q45" s="81"/>
    </row>
    <row r="46" spans="1:23" ht="12" customHeight="1" thickBot="1" x14ac:dyDescent="0.3">
      <c r="A46" s="81"/>
      <c r="B46" s="123"/>
      <c r="C46" s="94" t="s">
        <v>62</v>
      </c>
      <c r="D46" s="126"/>
      <c r="E46" s="126"/>
      <c r="F46" s="155"/>
      <c r="G46" s="209">
        <f>G38-K38</f>
        <v>81.321561594702757</v>
      </c>
      <c r="H46" s="210"/>
      <c r="I46" s="211"/>
      <c r="J46" s="143" t="s">
        <v>13</v>
      </c>
      <c r="K46" s="209">
        <f>G14*G46</f>
        <v>81.321561594702757</v>
      </c>
      <c r="L46" s="210"/>
      <c r="M46" s="210"/>
      <c r="N46" s="211"/>
      <c r="O46" s="143" t="s">
        <v>13</v>
      </c>
      <c r="P46" s="156"/>
      <c r="Q46" s="81"/>
    </row>
    <row r="47" spans="1:23" ht="10.5" customHeight="1" thickBot="1" x14ac:dyDescent="0.3">
      <c r="A47" s="81"/>
      <c r="B47" s="123"/>
      <c r="C47" s="97"/>
      <c r="D47" s="97"/>
      <c r="E47" s="97"/>
      <c r="F47" s="155"/>
      <c r="G47" s="144"/>
      <c r="H47" s="144"/>
      <c r="I47" s="144"/>
      <c r="J47" s="125"/>
      <c r="K47" s="97"/>
      <c r="L47" s="97"/>
      <c r="M47" s="97"/>
      <c r="N47" s="97"/>
      <c r="O47" s="125"/>
      <c r="P47" s="156"/>
      <c r="Q47" s="81"/>
    </row>
    <row r="48" spans="1:23" ht="12" customHeight="1" thickBot="1" x14ac:dyDescent="0.3">
      <c r="A48" s="81"/>
      <c r="B48" s="123"/>
      <c r="C48" s="157" t="s">
        <v>41</v>
      </c>
      <c r="D48" s="126"/>
      <c r="E48" s="126"/>
      <c r="F48" s="155"/>
      <c r="G48" s="206">
        <f>(J50*G36)-(J50*K36)</f>
        <v>352.39343357704502</v>
      </c>
      <c r="H48" s="207"/>
      <c r="I48" s="208"/>
      <c r="J48" s="143" t="s">
        <v>64</v>
      </c>
      <c r="K48" s="206">
        <f>G14*G48</f>
        <v>352.39343357704502</v>
      </c>
      <c r="L48" s="207"/>
      <c r="M48" s="207"/>
      <c r="N48" s="208"/>
      <c r="O48" s="143" t="s">
        <v>64</v>
      </c>
      <c r="P48" s="158"/>
      <c r="Q48" s="81"/>
    </row>
    <row r="49" spans="1:17" ht="5.25" customHeight="1" thickBot="1" x14ac:dyDescent="0.3">
      <c r="A49" s="81"/>
      <c r="B49" s="123"/>
      <c r="C49" s="97"/>
      <c r="D49" s="97"/>
      <c r="E49" s="97"/>
      <c r="F49" s="155"/>
      <c r="G49" s="144"/>
      <c r="H49" s="144"/>
      <c r="I49" s="127"/>
      <c r="J49" s="125"/>
      <c r="K49" s="97"/>
      <c r="L49" s="97"/>
      <c r="M49" s="97"/>
      <c r="N49" s="97"/>
      <c r="O49" s="125"/>
      <c r="P49" s="136"/>
      <c r="Q49" s="81"/>
    </row>
    <row r="50" spans="1:17" ht="12" customHeight="1" thickBot="1" x14ac:dyDescent="0.3">
      <c r="A50" s="81"/>
      <c r="B50" s="192"/>
      <c r="C50" s="126"/>
      <c r="D50" s="126"/>
      <c r="E50" s="126"/>
      <c r="F50" s="159"/>
      <c r="G50" s="159"/>
      <c r="I50" s="194" t="s">
        <v>72</v>
      </c>
      <c r="J50" s="202">
        <v>0.65</v>
      </c>
      <c r="K50" s="159" t="s">
        <v>70</v>
      </c>
      <c r="L50" s="97"/>
      <c r="M50" s="97"/>
      <c r="N50" s="97"/>
      <c r="O50" s="125"/>
      <c r="P50" s="136"/>
      <c r="Q50" s="81"/>
    </row>
    <row r="51" spans="1:17" ht="10.5" customHeight="1" x14ac:dyDescent="0.25">
      <c r="A51" s="81"/>
      <c r="B51" s="123"/>
      <c r="C51" s="97"/>
      <c r="D51" s="97"/>
      <c r="E51" s="97"/>
      <c r="F51" s="97"/>
      <c r="G51" s="127"/>
      <c r="H51" s="160"/>
      <c r="I51" s="160"/>
      <c r="J51" s="125"/>
      <c r="K51" s="97"/>
      <c r="L51" s="97"/>
      <c r="M51" s="97"/>
      <c r="N51" s="97"/>
      <c r="O51" s="125"/>
      <c r="P51" s="136"/>
      <c r="Q51" s="81"/>
    </row>
    <row r="52" spans="1:17" ht="12" customHeight="1" x14ac:dyDescent="0.25">
      <c r="A52" s="81"/>
      <c r="B52" s="203" t="str">
        <f>CONCATENATE("PAYBACK ","TIME ",K32," VS ", G32)</f>
        <v>PAYBACK TIME IE3 VS IE1</v>
      </c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5"/>
      <c r="Q52" s="81"/>
    </row>
    <row r="53" spans="1:17" ht="12" customHeight="1" thickBot="1" x14ac:dyDescent="0.3">
      <c r="A53" s="81"/>
      <c r="B53" s="123"/>
      <c r="C53" s="97"/>
      <c r="D53" s="97"/>
      <c r="E53" s="97"/>
      <c r="F53" s="97"/>
      <c r="G53" s="127"/>
      <c r="H53" s="127"/>
      <c r="I53" s="127"/>
      <c r="J53" s="125"/>
      <c r="K53" s="97"/>
      <c r="L53" s="97"/>
      <c r="M53" s="97"/>
      <c r="N53" s="97"/>
      <c r="O53" s="125"/>
      <c r="P53" s="136"/>
      <c r="Q53" s="81"/>
    </row>
    <row r="54" spans="1:17" ht="12" customHeight="1" thickBot="1" x14ac:dyDescent="0.3">
      <c r="A54" s="81"/>
      <c r="B54" s="123"/>
      <c r="C54" s="126"/>
      <c r="D54" s="217" t="str">
        <f>CONCATENATE(K32," NET PRICE")</f>
        <v>IE3 NET PRICE</v>
      </c>
      <c r="E54" s="217"/>
      <c r="F54" s="217"/>
      <c r="G54" s="217"/>
      <c r="H54" s="220">
        <v>557</v>
      </c>
      <c r="I54" s="221"/>
      <c r="J54" s="200" t="s">
        <v>108</v>
      </c>
      <c r="K54" s="97"/>
      <c r="L54" s="161"/>
      <c r="M54" s="161"/>
      <c r="N54" s="161"/>
      <c r="O54" s="161"/>
      <c r="P54" s="128"/>
      <c r="Q54" s="81"/>
    </row>
    <row r="55" spans="1:17" ht="12" customHeight="1" thickBot="1" x14ac:dyDescent="0.3">
      <c r="A55" s="81"/>
      <c r="B55" s="123"/>
      <c r="C55" s="97"/>
      <c r="D55" s="97"/>
      <c r="E55" s="97"/>
      <c r="F55" s="97"/>
      <c r="G55" s="125"/>
      <c r="H55" s="160"/>
      <c r="I55" s="127"/>
      <c r="J55" s="143"/>
      <c r="K55" s="97"/>
      <c r="L55" s="162"/>
      <c r="M55" s="162"/>
      <c r="N55" s="162"/>
      <c r="O55" s="161"/>
      <c r="P55" s="136"/>
      <c r="Q55" s="81"/>
    </row>
    <row r="56" spans="1:17" ht="12" customHeight="1" thickBot="1" x14ac:dyDescent="0.3">
      <c r="A56" s="81"/>
      <c r="B56" s="123"/>
      <c r="C56" s="126"/>
      <c r="D56" s="217" t="str">
        <f>CONCATENATE(G32," NET PRICE")</f>
        <v>IE1 NET PRICE</v>
      </c>
      <c r="E56" s="217"/>
      <c r="F56" s="217"/>
      <c r="G56" s="217"/>
      <c r="H56" s="218">
        <v>430</v>
      </c>
      <c r="I56" s="219"/>
      <c r="J56" s="200" t="s">
        <v>108</v>
      </c>
      <c r="K56" s="97"/>
      <c r="L56" s="161"/>
      <c r="M56" s="161"/>
      <c r="N56" s="161"/>
      <c r="O56" s="161"/>
      <c r="P56" s="136"/>
      <c r="Q56" s="81"/>
    </row>
    <row r="57" spans="1:17" ht="8.25" customHeight="1" x14ac:dyDescent="0.25">
      <c r="A57" s="81"/>
      <c r="B57" s="123"/>
      <c r="C57" s="97"/>
      <c r="D57" s="97"/>
      <c r="E57" s="97"/>
      <c r="F57" s="97"/>
      <c r="G57" s="125"/>
      <c r="H57" s="160"/>
      <c r="I57" s="127"/>
      <c r="J57" s="125"/>
      <c r="K57" s="97"/>
      <c r="L57" s="162"/>
      <c r="M57" s="162"/>
      <c r="N57" s="162"/>
      <c r="O57" s="161"/>
      <c r="P57" s="136"/>
      <c r="Q57" s="81"/>
    </row>
    <row r="58" spans="1:17" ht="6.75" customHeight="1" thickBot="1" x14ac:dyDescent="0.3">
      <c r="A58" s="81"/>
      <c r="B58" s="123"/>
      <c r="C58" s="126"/>
      <c r="D58" s="126"/>
      <c r="E58" s="126"/>
      <c r="F58" s="94"/>
      <c r="G58" s="125"/>
      <c r="H58" s="127"/>
      <c r="I58" s="127"/>
      <c r="J58" s="125"/>
      <c r="K58" s="97"/>
      <c r="L58" s="161"/>
      <c r="M58" s="161"/>
      <c r="N58" s="161"/>
      <c r="O58" s="161"/>
      <c r="P58" s="163"/>
      <c r="Q58" s="81"/>
    </row>
    <row r="59" spans="1:17" ht="18" customHeight="1" thickBot="1" x14ac:dyDescent="0.3">
      <c r="A59" s="81"/>
      <c r="B59" s="123"/>
      <c r="C59" s="97"/>
      <c r="D59" s="216" t="s">
        <v>76</v>
      </c>
      <c r="E59" s="216"/>
      <c r="F59" s="216"/>
      <c r="G59" s="216"/>
      <c r="H59" s="222">
        <f>IF(G25&lt;&gt;0,(H54-H56)/(G38-K38)/30,(H54-H56)/(G38-K38)*12)</f>
        <v>18.740417302798974</v>
      </c>
      <c r="I59" s="223"/>
      <c r="J59" s="143" t="s">
        <v>85</v>
      </c>
      <c r="K59" s="97"/>
      <c r="L59" s="162"/>
      <c r="M59" s="162"/>
      <c r="N59" s="162"/>
      <c r="O59" s="161"/>
      <c r="P59" s="128"/>
      <c r="Q59" s="81"/>
    </row>
    <row r="60" spans="1:17" ht="1.5" customHeight="1" x14ac:dyDescent="0.25">
      <c r="A60" s="81"/>
      <c r="B60" s="123"/>
      <c r="C60" s="97"/>
      <c r="D60" s="126"/>
      <c r="E60" s="126"/>
      <c r="F60" s="94"/>
      <c r="G60" s="125"/>
      <c r="H60" s="127"/>
      <c r="I60" s="127"/>
      <c r="K60" s="97"/>
      <c r="L60" s="125"/>
      <c r="M60" s="125"/>
      <c r="N60" s="125"/>
      <c r="O60" s="125"/>
      <c r="P60" s="136"/>
      <c r="Q60" s="81"/>
    </row>
    <row r="61" spans="1:17" ht="6" customHeight="1" x14ac:dyDescent="0.25">
      <c r="A61" s="81"/>
      <c r="B61" s="123"/>
      <c r="C61" s="126"/>
      <c r="D61" s="126"/>
      <c r="E61" s="126"/>
      <c r="F61" s="94"/>
      <c r="G61" s="125"/>
      <c r="H61" s="127"/>
      <c r="I61" s="127"/>
      <c r="J61" s="125"/>
      <c r="K61" s="97"/>
      <c r="L61" s="161"/>
      <c r="M61" s="161"/>
      <c r="N61" s="161"/>
      <c r="O61" s="161"/>
      <c r="P61" s="136"/>
      <c r="Q61" s="81"/>
    </row>
    <row r="62" spans="1:17" ht="12" customHeight="1" x14ac:dyDescent="0.25">
      <c r="A62" s="81"/>
      <c r="B62" s="212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81"/>
    </row>
    <row r="63" spans="1:17" ht="6.75" customHeight="1" x14ac:dyDescent="0.25">
      <c r="A63" s="81"/>
      <c r="B63" s="123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91"/>
      <c r="Q63" s="81"/>
    </row>
    <row r="64" spans="1:17" ht="12" customHeight="1" x14ac:dyDescent="0.25">
      <c r="A64" s="81"/>
      <c r="B64" s="123"/>
      <c r="C64" s="201" t="s">
        <v>71</v>
      </c>
      <c r="D64" s="97"/>
      <c r="E64" s="97"/>
      <c r="F64" s="97"/>
      <c r="G64" s="127"/>
      <c r="H64" s="160"/>
      <c r="I64" s="160"/>
      <c r="J64" s="125"/>
      <c r="K64" s="126"/>
      <c r="L64" s="126"/>
      <c r="M64" s="126"/>
      <c r="N64" s="126"/>
      <c r="O64" s="125"/>
      <c r="P64" s="136"/>
      <c r="Q64" s="81"/>
    </row>
    <row r="65" spans="1:17" ht="12" customHeight="1" x14ac:dyDescent="0.25">
      <c r="A65" s="81"/>
      <c r="B65" s="123"/>
      <c r="C65" s="190" t="s">
        <v>23</v>
      </c>
      <c r="D65" s="94" t="s">
        <v>100</v>
      </c>
      <c r="E65" s="97"/>
      <c r="F65" s="97"/>
      <c r="G65" s="127"/>
      <c r="H65" s="160"/>
      <c r="I65" s="160"/>
      <c r="J65" s="125"/>
      <c r="K65" s="126"/>
      <c r="L65" s="126"/>
      <c r="M65" s="126"/>
      <c r="N65" s="126"/>
      <c r="O65" s="125"/>
      <c r="P65" s="136"/>
      <c r="Q65" s="81"/>
    </row>
    <row r="66" spans="1:17" ht="12" customHeight="1" x14ac:dyDescent="0.25">
      <c r="A66" s="81"/>
      <c r="B66" s="123"/>
      <c r="C66" s="190" t="s">
        <v>23</v>
      </c>
      <c r="D66" s="94" t="s">
        <v>90</v>
      </c>
      <c r="E66" s="164"/>
      <c r="F66" s="164"/>
      <c r="G66" s="165"/>
      <c r="H66" s="166"/>
      <c r="I66" s="166"/>
      <c r="J66" s="165"/>
      <c r="K66" s="164"/>
      <c r="L66" s="164"/>
      <c r="M66" s="164"/>
      <c r="N66" s="164"/>
      <c r="O66" s="165"/>
      <c r="P66" s="167"/>
      <c r="Q66" s="81"/>
    </row>
    <row r="67" spans="1:17" ht="12" customHeight="1" x14ac:dyDescent="0.25">
      <c r="A67" s="81"/>
      <c r="B67" s="123"/>
      <c r="C67" s="190" t="s">
        <v>23</v>
      </c>
      <c r="D67" s="94" t="s">
        <v>112</v>
      </c>
      <c r="E67" s="164"/>
      <c r="F67" s="164"/>
      <c r="G67" s="165"/>
      <c r="H67" s="166"/>
      <c r="I67" s="166"/>
      <c r="J67" s="165"/>
      <c r="K67" s="164"/>
      <c r="L67" s="164"/>
      <c r="M67" s="164"/>
      <c r="N67" s="164"/>
      <c r="O67" s="165"/>
      <c r="P67" s="167"/>
      <c r="Q67" s="81"/>
    </row>
    <row r="68" spans="1:17" ht="12" customHeight="1" x14ac:dyDescent="0.25">
      <c r="A68" s="81"/>
      <c r="B68" s="123"/>
      <c r="C68" s="190"/>
      <c r="D68" s="94" t="s">
        <v>109</v>
      </c>
      <c r="E68" s="164"/>
      <c r="F68" s="164"/>
      <c r="G68" s="165"/>
      <c r="H68" s="166"/>
      <c r="I68" s="166"/>
      <c r="J68" s="165"/>
      <c r="K68" s="164"/>
      <c r="L68" s="164"/>
      <c r="M68" s="164"/>
      <c r="N68" s="164"/>
      <c r="O68" s="165"/>
      <c r="P68" s="167"/>
      <c r="Q68" s="81"/>
    </row>
    <row r="69" spans="1:17" ht="12" customHeight="1" x14ac:dyDescent="0.25">
      <c r="A69" s="81"/>
      <c r="B69" s="123"/>
      <c r="C69" s="190" t="s">
        <v>23</v>
      </c>
      <c r="D69" s="94" t="s">
        <v>105</v>
      </c>
      <c r="E69" s="164"/>
      <c r="F69" s="164"/>
      <c r="G69" s="165"/>
      <c r="H69" s="166"/>
      <c r="I69" s="166"/>
      <c r="J69" s="165"/>
      <c r="K69" s="164"/>
      <c r="L69" s="164"/>
      <c r="M69" s="164"/>
      <c r="N69" s="164"/>
      <c r="O69" s="165"/>
      <c r="P69" s="167"/>
      <c r="Q69" s="81"/>
    </row>
    <row r="70" spans="1:17" ht="12" customHeight="1" x14ac:dyDescent="0.25">
      <c r="A70" s="81"/>
      <c r="B70" s="123"/>
      <c r="C70" s="190" t="s">
        <v>23</v>
      </c>
      <c r="D70" s="94" t="s">
        <v>106</v>
      </c>
      <c r="E70" s="164"/>
      <c r="F70" s="164"/>
      <c r="G70" s="165"/>
      <c r="H70" s="165"/>
      <c r="I70" s="165"/>
      <c r="J70" s="165"/>
      <c r="K70" s="168"/>
      <c r="L70" s="168"/>
      <c r="M70" s="168"/>
      <c r="N70" s="168"/>
      <c r="O70" s="169"/>
      <c r="P70" s="167"/>
      <c r="Q70" s="81"/>
    </row>
    <row r="71" spans="1:17" ht="12" customHeight="1" x14ac:dyDescent="0.25">
      <c r="A71" s="81"/>
      <c r="B71" s="123"/>
      <c r="C71" s="190" t="s">
        <v>23</v>
      </c>
      <c r="D71" s="94" t="s">
        <v>107</v>
      </c>
      <c r="E71" s="164"/>
      <c r="F71" s="164"/>
      <c r="G71" s="165"/>
      <c r="H71" s="166"/>
      <c r="I71" s="166"/>
      <c r="J71" s="165"/>
      <c r="K71" s="168"/>
      <c r="L71" s="168"/>
      <c r="M71" s="168"/>
      <c r="N71" s="168"/>
      <c r="O71" s="165"/>
      <c r="P71" s="167"/>
      <c r="Q71" s="81"/>
    </row>
    <row r="72" spans="1:17" ht="12" customHeight="1" x14ac:dyDescent="0.25">
      <c r="A72" s="81"/>
      <c r="B72" s="123"/>
      <c r="C72" s="190"/>
      <c r="D72" s="94" t="s">
        <v>101</v>
      </c>
      <c r="E72" s="164"/>
      <c r="F72" s="164"/>
      <c r="G72" s="165"/>
      <c r="H72" s="166"/>
      <c r="I72" s="166"/>
      <c r="J72" s="165"/>
      <c r="K72" s="168"/>
      <c r="L72" s="168"/>
      <c r="M72" s="168"/>
      <c r="N72" s="168"/>
      <c r="O72" s="165"/>
      <c r="P72" s="167"/>
      <c r="Q72" s="81"/>
    </row>
    <row r="73" spans="1:17" ht="12" customHeight="1" x14ac:dyDescent="0.25">
      <c r="A73" s="81"/>
      <c r="B73" s="123"/>
      <c r="C73" s="190" t="s">
        <v>23</v>
      </c>
      <c r="D73" s="199" t="s">
        <v>91</v>
      </c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67"/>
      <c r="Q73" s="81"/>
    </row>
    <row r="74" spans="1:17" ht="12" customHeight="1" x14ac:dyDescent="0.25">
      <c r="A74" s="81"/>
      <c r="B74" s="170"/>
      <c r="C74" s="172"/>
      <c r="D74" s="188"/>
      <c r="E74" s="115"/>
      <c r="F74" s="171"/>
      <c r="G74" s="171"/>
      <c r="H74" s="171"/>
      <c r="I74" s="171"/>
      <c r="J74" s="171"/>
      <c r="K74" s="171"/>
      <c r="L74" s="172"/>
      <c r="M74" s="172"/>
      <c r="N74" s="172"/>
      <c r="O74" s="173"/>
      <c r="P74" s="174"/>
      <c r="Q74" s="81"/>
    </row>
    <row r="75" spans="1:17" ht="12" customHeight="1" x14ac:dyDescent="0.25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1:17" x14ac:dyDescent="0.25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1:17" x14ac:dyDescent="0.25">
      <c r="A77" s="81"/>
      <c r="B77" s="175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7"/>
      <c r="Q77" s="81"/>
    </row>
    <row r="78" spans="1:17" x14ac:dyDescent="0.25">
      <c r="A78" s="81"/>
      <c r="B78" s="178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79"/>
      <c r="Q78" s="81"/>
    </row>
    <row r="79" spans="1:17" x14ac:dyDescent="0.25">
      <c r="A79" s="81"/>
      <c r="B79" s="178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79"/>
      <c r="Q79" s="81"/>
    </row>
    <row r="80" spans="1:17" x14ac:dyDescent="0.25">
      <c r="A80" s="81"/>
      <c r="B80" s="178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79"/>
      <c r="Q80" s="81"/>
    </row>
    <row r="81" spans="1:17" x14ac:dyDescent="0.25">
      <c r="A81" s="81"/>
      <c r="B81" s="178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79"/>
      <c r="Q81" s="81"/>
    </row>
    <row r="82" spans="1:17" x14ac:dyDescent="0.25">
      <c r="A82" s="81"/>
      <c r="B82" s="178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79"/>
      <c r="Q82" s="81"/>
    </row>
    <row r="83" spans="1:17" x14ac:dyDescent="0.25">
      <c r="A83" s="81"/>
      <c r="B83" s="178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79"/>
      <c r="Q83" s="81"/>
    </row>
    <row r="84" spans="1:17" x14ac:dyDescent="0.25">
      <c r="A84" s="81"/>
      <c r="B84" s="178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79"/>
      <c r="Q84" s="81"/>
    </row>
    <row r="85" spans="1:17" x14ac:dyDescent="0.25">
      <c r="A85" s="81"/>
      <c r="B85" s="178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79"/>
      <c r="Q85" s="81"/>
    </row>
    <row r="86" spans="1:17" x14ac:dyDescent="0.25">
      <c r="A86" s="81"/>
      <c r="B86" s="178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79"/>
      <c r="Q86" s="81"/>
    </row>
    <row r="87" spans="1:17" x14ac:dyDescent="0.25">
      <c r="A87" s="81"/>
      <c r="B87" s="178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79"/>
      <c r="Q87" s="81"/>
    </row>
    <row r="88" spans="1:17" x14ac:dyDescent="0.25">
      <c r="A88" s="81"/>
      <c r="B88" s="178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79"/>
      <c r="Q88" s="81"/>
    </row>
    <row r="89" spans="1:17" x14ac:dyDescent="0.25">
      <c r="A89" s="81"/>
      <c r="B89" s="178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79"/>
      <c r="Q89" s="81"/>
    </row>
    <row r="90" spans="1:17" x14ac:dyDescent="0.25">
      <c r="A90" s="81"/>
      <c r="B90" s="178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79"/>
      <c r="Q90" s="81"/>
    </row>
    <row r="91" spans="1:17" x14ac:dyDescent="0.25">
      <c r="A91" s="81"/>
      <c r="B91" s="178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79"/>
      <c r="Q91" s="81"/>
    </row>
    <row r="92" spans="1:17" x14ac:dyDescent="0.25">
      <c r="A92" s="81"/>
      <c r="B92" s="178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79"/>
      <c r="Q92" s="81"/>
    </row>
    <row r="93" spans="1:17" x14ac:dyDescent="0.25">
      <c r="A93" s="81"/>
      <c r="B93" s="178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79"/>
      <c r="Q93" s="81"/>
    </row>
    <row r="94" spans="1:17" x14ac:dyDescent="0.25">
      <c r="A94" s="81"/>
      <c r="B94" s="178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79"/>
      <c r="Q94" s="81"/>
    </row>
    <row r="95" spans="1:17" x14ac:dyDescent="0.25">
      <c r="A95" s="81"/>
      <c r="B95" s="178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79"/>
      <c r="Q95" s="81"/>
    </row>
    <row r="96" spans="1:17" x14ac:dyDescent="0.25">
      <c r="A96" s="81"/>
      <c r="B96" s="178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79"/>
      <c r="Q96" s="81"/>
    </row>
    <row r="97" spans="1:17" x14ac:dyDescent="0.25">
      <c r="A97" s="81"/>
      <c r="B97" s="178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79"/>
      <c r="Q97" s="81"/>
    </row>
    <row r="98" spans="1:17" x14ac:dyDescent="0.25">
      <c r="A98" s="81"/>
      <c r="B98" s="178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79"/>
      <c r="Q98" s="81"/>
    </row>
    <row r="99" spans="1:17" x14ac:dyDescent="0.25">
      <c r="A99" s="81"/>
      <c r="B99" s="178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79"/>
      <c r="Q99" s="81"/>
    </row>
    <row r="100" spans="1:17" x14ac:dyDescent="0.25">
      <c r="A100" s="81"/>
      <c r="B100" s="178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79"/>
      <c r="Q100" s="81"/>
    </row>
    <row r="101" spans="1:17" x14ac:dyDescent="0.25">
      <c r="A101" s="81"/>
      <c r="B101" s="178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79"/>
      <c r="Q101" s="81"/>
    </row>
    <row r="102" spans="1:17" x14ac:dyDescent="0.25">
      <c r="A102" s="81"/>
      <c r="B102" s="178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79"/>
      <c r="Q102" s="81"/>
    </row>
    <row r="103" spans="1:17" x14ac:dyDescent="0.25">
      <c r="A103" s="81"/>
      <c r="B103" s="178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79"/>
      <c r="Q103" s="81"/>
    </row>
    <row r="104" spans="1:17" x14ac:dyDescent="0.25">
      <c r="A104" s="81"/>
      <c r="B104" s="178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79"/>
      <c r="Q104" s="81"/>
    </row>
    <row r="105" spans="1:17" x14ac:dyDescent="0.25">
      <c r="A105" s="81"/>
      <c r="B105" s="178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79"/>
      <c r="Q105" s="81"/>
    </row>
    <row r="106" spans="1:17" x14ac:dyDescent="0.25">
      <c r="A106" s="81"/>
      <c r="B106" s="178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79"/>
      <c r="Q106" s="81"/>
    </row>
    <row r="107" spans="1:17" x14ac:dyDescent="0.25">
      <c r="A107" s="81"/>
      <c r="B107" s="178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79"/>
      <c r="Q107" s="81"/>
    </row>
    <row r="108" spans="1:17" x14ac:dyDescent="0.25">
      <c r="A108" s="81"/>
      <c r="B108" s="178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79"/>
      <c r="Q108" s="81"/>
    </row>
    <row r="109" spans="1:17" x14ac:dyDescent="0.25">
      <c r="A109" s="81"/>
      <c r="B109" s="178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79"/>
      <c r="Q109" s="81"/>
    </row>
    <row r="110" spans="1:17" x14ac:dyDescent="0.25">
      <c r="A110" s="81"/>
      <c r="B110" s="178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79"/>
      <c r="Q110" s="81"/>
    </row>
    <row r="111" spans="1:17" x14ac:dyDescent="0.25">
      <c r="A111" s="81"/>
      <c r="B111" s="178"/>
      <c r="C111" s="180"/>
      <c r="D111" s="180"/>
      <c r="E111" s="180"/>
      <c r="F111" s="180"/>
      <c r="G111" s="180"/>
      <c r="H111" s="180"/>
      <c r="I111" s="180"/>
      <c r="J111" s="121"/>
      <c r="K111" s="121"/>
      <c r="L111" s="121"/>
      <c r="M111" s="121"/>
      <c r="N111" s="121"/>
      <c r="O111" s="121"/>
      <c r="P111" s="179"/>
      <c r="Q111" s="81"/>
    </row>
    <row r="112" spans="1:17" x14ac:dyDescent="0.25">
      <c r="A112" s="81"/>
      <c r="B112" s="178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79"/>
      <c r="Q112" s="81"/>
    </row>
    <row r="113" spans="1:17" x14ac:dyDescent="0.25">
      <c r="A113" s="81"/>
      <c r="B113" s="178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79"/>
      <c r="Q113" s="81"/>
    </row>
    <row r="114" spans="1:17" x14ac:dyDescent="0.25">
      <c r="A114" s="81"/>
      <c r="B114" s="178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79"/>
      <c r="Q114" s="81"/>
    </row>
    <row r="115" spans="1:17" x14ac:dyDescent="0.25">
      <c r="A115" s="81"/>
      <c r="B115" s="178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79"/>
      <c r="Q115" s="81"/>
    </row>
    <row r="116" spans="1:17" x14ac:dyDescent="0.25">
      <c r="A116" s="81"/>
      <c r="B116" s="178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79"/>
      <c r="Q116" s="81"/>
    </row>
    <row r="117" spans="1:17" x14ac:dyDescent="0.25">
      <c r="A117" s="81"/>
      <c r="B117" s="178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79"/>
      <c r="Q117" s="81"/>
    </row>
    <row r="118" spans="1:17" x14ac:dyDescent="0.25">
      <c r="A118" s="81"/>
      <c r="B118" s="178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79"/>
      <c r="Q118" s="81"/>
    </row>
    <row r="119" spans="1:17" x14ac:dyDescent="0.25">
      <c r="A119" s="81"/>
      <c r="B119" s="178"/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79"/>
      <c r="Q119" s="81"/>
    </row>
    <row r="120" spans="1:17" x14ac:dyDescent="0.25">
      <c r="A120" s="81"/>
      <c r="B120" s="178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79"/>
      <c r="Q120" s="81"/>
    </row>
    <row r="121" spans="1:17" x14ac:dyDescent="0.25">
      <c r="A121" s="81"/>
      <c r="B121" s="178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79"/>
      <c r="Q121" s="81"/>
    </row>
    <row r="122" spans="1:17" x14ac:dyDescent="0.25">
      <c r="A122" s="81"/>
      <c r="B122" s="178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79"/>
      <c r="Q122" s="81"/>
    </row>
    <row r="123" spans="1:17" x14ac:dyDescent="0.25">
      <c r="A123" s="81"/>
      <c r="B123" s="178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79"/>
      <c r="Q123" s="81"/>
    </row>
    <row r="124" spans="1:17" x14ac:dyDescent="0.25">
      <c r="A124" s="81"/>
      <c r="B124" s="178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79"/>
      <c r="Q124" s="81"/>
    </row>
    <row r="125" spans="1:17" x14ac:dyDescent="0.25">
      <c r="A125" s="81"/>
      <c r="B125" s="178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79"/>
      <c r="Q125" s="81"/>
    </row>
    <row r="126" spans="1:17" x14ac:dyDescent="0.25">
      <c r="A126" s="81"/>
      <c r="B126" s="178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79"/>
      <c r="Q126" s="81"/>
    </row>
    <row r="127" spans="1:17" x14ac:dyDescent="0.25">
      <c r="A127" s="81"/>
      <c r="B127" s="178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79"/>
      <c r="Q127" s="81"/>
    </row>
    <row r="128" spans="1:17" x14ac:dyDescent="0.25">
      <c r="A128" s="81"/>
      <c r="B128" s="178"/>
      <c r="C128" s="181"/>
      <c r="D128" s="215"/>
      <c r="E128" s="215"/>
      <c r="F128" s="182"/>
      <c r="G128" s="121"/>
      <c r="H128" s="121"/>
      <c r="I128" s="121"/>
      <c r="J128" s="121"/>
      <c r="K128" s="121"/>
      <c r="L128" s="121"/>
      <c r="M128" s="121"/>
      <c r="N128" s="121"/>
      <c r="O128" s="121"/>
      <c r="P128" s="179"/>
      <c r="Q128" s="81"/>
    </row>
    <row r="129" spans="1:18" x14ac:dyDescent="0.25">
      <c r="A129" s="81"/>
      <c r="B129" s="183"/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5"/>
      <c r="Q129" s="81"/>
    </row>
    <row r="130" spans="1:18" x14ac:dyDescent="0.25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1:18" x14ac:dyDescent="0.25">
      <c r="A131" s="186"/>
      <c r="B131" s="186"/>
      <c r="C131" s="186"/>
      <c r="D131" s="186"/>
      <c r="E131" s="186"/>
      <c r="F131" s="186"/>
      <c r="G131" s="186"/>
      <c r="H131" s="186"/>
      <c r="I131" s="186"/>
      <c r="J131" s="186"/>
      <c r="K131" s="186"/>
      <c r="L131" s="186"/>
      <c r="M131" s="186"/>
      <c r="N131" s="186"/>
      <c r="O131" s="186"/>
      <c r="P131" s="186"/>
      <c r="Q131" s="186"/>
      <c r="R131" s="186"/>
    </row>
    <row r="132" spans="1:18" x14ac:dyDescent="0.25">
      <c r="A132" s="186"/>
      <c r="B132" s="186"/>
      <c r="C132" s="186"/>
      <c r="D132" s="186"/>
      <c r="E132" s="186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  <c r="P132" s="186"/>
      <c r="Q132" s="186"/>
      <c r="R132" s="186"/>
    </row>
    <row r="133" spans="1:18" x14ac:dyDescent="0.25">
      <c r="A133" s="186"/>
      <c r="B133" s="186"/>
      <c r="C133" s="186"/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6"/>
      <c r="R133" s="186"/>
    </row>
    <row r="134" spans="1:18" x14ac:dyDescent="0.25">
      <c r="A134" s="186"/>
      <c r="B134" s="186"/>
      <c r="C134" s="186"/>
      <c r="D134" s="186"/>
      <c r="E134" s="186"/>
      <c r="F134" s="186"/>
      <c r="G134" s="186"/>
      <c r="H134" s="186"/>
      <c r="I134" s="186"/>
      <c r="J134" s="186"/>
      <c r="K134" s="186"/>
      <c r="L134" s="186"/>
      <c r="M134" s="186"/>
      <c r="N134" s="186"/>
      <c r="O134" s="186"/>
      <c r="P134" s="186"/>
      <c r="Q134" s="186"/>
      <c r="R134" s="186"/>
    </row>
    <row r="135" spans="1:18" x14ac:dyDescent="0.25">
      <c r="A135" s="186"/>
      <c r="B135" s="186"/>
      <c r="C135" s="186"/>
      <c r="D135" s="186"/>
      <c r="E135" s="186"/>
      <c r="F135" s="186"/>
      <c r="G135" s="186"/>
      <c r="H135" s="186"/>
      <c r="I135" s="186"/>
      <c r="J135" s="186"/>
      <c r="K135" s="186"/>
      <c r="L135" s="186"/>
      <c r="M135" s="186"/>
      <c r="N135" s="186"/>
      <c r="O135" s="186"/>
      <c r="P135" s="186"/>
      <c r="Q135" s="186"/>
      <c r="R135" s="186"/>
    </row>
    <row r="136" spans="1:18" x14ac:dyDescent="0.25">
      <c r="A136" s="186"/>
      <c r="B136" s="186"/>
      <c r="C136" s="186"/>
      <c r="D136" s="186"/>
      <c r="E136" s="186"/>
      <c r="F136" s="186"/>
      <c r="G136" s="186"/>
      <c r="H136" s="186"/>
      <c r="I136" s="186"/>
      <c r="J136" s="186"/>
      <c r="K136" s="186"/>
      <c r="L136" s="186"/>
      <c r="M136" s="186"/>
      <c r="N136" s="186"/>
      <c r="O136" s="186"/>
      <c r="P136" s="186"/>
      <c r="Q136" s="186"/>
      <c r="R136" s="186"/>
    </row>
    <row r="137" spans="1:18" x14ac:dyDescent="0.25">
      <c r="A137" s="186"/>
      <c r="B137" s="186"/>
      <c r="C137" s="186"/>
      <c r="D137" s="186"/>
      <c r="E137" s="186"/>
      <c r="F137" s="186"/>
      <c r="G137" s="186"/>
      <c r="H137" s="186"/>
      <c r="I137" s="186"/>
      <c r="J137" s="186"/>
      <c r="K137" s="186"/>
      <c r="L137" s="186"/>
      <c r="M137" s="186"/>
      <c r="N137" s="186"/>
      <c r="O137" s="186"/>
      <c r="P137" s="186"/>
      <c r="Q137" s="186"/>
      <c r="R137" s="186"/>
    </row>
    <row r="138" spans="1:18" x14ac:dyDescent="0.25">
      <c r="A138" s="186"/>
      <c r="B138" s="186"/>
      <c r="C138" s="186"/>
      <c r="D138" s="186"/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  <c r="R138" s="186"/>
    </row>
    <row r="139" spans="1:18" x14ac:dyDescent="0.25">
      <c r="A139" s="186"/>
      <c r="B139" s="186"/>
      <c r="C139" s="186"/>
      <c r="D139" s="186"/>
      <c r="E139" s="186"/>
      <c r="F139" s="18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</row>
    <row r="140" spans="1:18" x14ac:dyDescent="0.25">
      <c r="A140" s="186"/>
      <c r="B140" s="186"/>
      <c r="C140" s="186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186"/>
      <c r="Q140" s="186"/>
      <c r="R140" s="186"/>
    </row>
    <row r="141" spans="1:18" x14ac:dyDescent="0.25">
      <c r="A141" s="186"/>
      <c r="B141" s="186"/>
      <c r="C141" s="186"/>
      <c r="D141" s="186"/>
      <c r="E141" s="186"/>
      <c r="F141" s="186"/>
      <c r="G141" s="186"/>
      <c r="H141" s="186"/>
      <c r="I141" s="186"/>
      <c r="J141" s="186"/>
      <c r="K141" s="186"/>
      <c r="L141" s="186"/>
      <c r="M141" s="186"/>
      <c r="N141" s="186"/>
      <c r="O141" s="186"/>
      <c r="P141" s="186"/>
      <c r="Q141" s="186"/>
      <c r="R141" s="186"/>
    </row>
    <row r="142" spans="1:18" x14ac:dyDescent="0.25">
      <c r="A142" s="186"/>
      <c r="B142" s="186"/>
      <c r="C142" s="186"/>
      <c r="D142" s="186"/>
      <c r="E142" s="186"/>
      <c r="F142" s="186"/>
      <c r="G142" s="186"/>
      <c r="H142" s="186"/>
      <c r="I142" s="186"/>
      <c r="J142" s="186"/>
      <c r="K142" s="186"/>
      <c r="L142" s="186"/>
      <c r="M142" s="186"/>
      <c r="N142" s="186"/>
      <c r="O142" s="186"/>
      <c r="P142" s="186"/>
      <c r="Q142" s="186"/>
      <c r="R142" s="186"/>
    </row>
    <row r="143" spans="1:18" x14ac:dyDescent="0.25">
      <c r="A143" s="186"/>
      <c r="B143" s="186"/>
      <c r="C143" s="186"/>
      <c r="D143" s="186"/>
      <c r="E143" s="186"/>
      <c r="F143" s="186"/>
      <c r="G143" s="186"/>
      <c r="H143" s="186"/>
      <c r="I143" s="186"/>
      <c r="J143" s="186"/>
      <c r="K143" s="186"/>
      <c r="L143" s="186"/>
      <c r="M143" s="186"/>
      <c r="N143" s="186"/>
      <c r="O143" s="186"/>
      <c r="P143" s="186"/>
      <c r="Q143" s="186"/>
      <c r="R143" s="186"/>
    </row>
    <row r="144" spans="1:18" x14ac:dyDescent="0.25">
      <c r="A144" s="186"/>
      <c r="B144" s="186"/>
      <c r="C144" s="186"/>
      <c r="D144" s="186"/>
      <c r="E144" s="186"/>
      <c r="F144" s="186"/>
      <c r="G144" s="186"/>
      <c r="H144" s="186"/>
      <c r="I144" s="186"/>
      <c r="J144" s="186"/>
      <c r="K144" s="186"/>
      <c r="L144" s="186"/>
      <c r="M144" s="186"/>
      <c r="N144" s="186"/>
      <c r="O144" s="186"/>
      <c r="P144" s="186"/>
      <c r="Q144" s="186"/>
      <c r="R144" s="186"/>
    </row>
    <row r="145" spans="1:18" x14ac:dyDescent="0.25">
      <c r="A145" s="186"/>
      <c r="B145" s="186"/>
      <c r="C145" s="186"/>
      <c r="D145" s="186"/>
      <c r="E145" s="186"/>
      <c r="F145" s="186"/>
      <c r="G145" s="186"/>
      <c r="H145" s="186"/>
      <c r="I145" s="186"/>
      <c r="J145" s="186"/>
      <c r="K145" s="186"/>
      <c r="L145" s="186"/>
      <c r="M145" s="186"/>
      <c r="N145" s="186"/>
      <c r="O145" s="186"/>
      <c r="P145" s="186"/>
      <c r="Q145" s="186"/>
      <c r="R145" s="186"/>
    </row>
    <row r="146" spans="1:18" x14ac:dyDescent="0.25">
      <c r="A146" s="186"/>
      <c r="B146" s="186"/>
      <c r="C146" s="186"/>
      <c r="D146" s="186"/>
      <c r="E146" s="186"/>
      <c r="F146" s="186"/>
      <c r="G146" s="186"/>
      <c r="H146" s="186"/>
      <c r="I146" s="186"/>
      <c r="J146" s="186"/>
      <c r="K146" s="186"/>
      <c r="L146" s="186"/>
      <c r="M146" s="186"/>
      <c r="N146" s="186"/>
      <c r="O146" s="186"/>
      <c r="P146" s="186"/>
      <c r="Q146" s="186"/>
      <c r="R146" s="186"/>
    </row>
    <row r="147" spans="1:18" x14ac:dyDescent="0.25">
      <c r="A147" s="186"/>
      <c r="B147" s="186"/>
      <c r="C147" s="186"/>
      <c r="D147" s="186"/>
      <c r="E147" s="186"/>
      <c r="F147" s="186"/>
      <c r="G147" s="186"/>
      <c r="H147" s="186"/>
      <c r="I147" s="186"/>
      <c r="J147" s="186"/>
      <c r="K147" s="186"/>
      <c r="L147" s="186"/>
      <c r="M147" s="186"/>
      <c r="N147" s="186"/>
      <c r="O147" s="186"/>
      <c r="P147" s="186"/>
      <c r="Q147" s="186"/>
      <c r="R147" s="186"/>
    </row>
    <row r="148" spans="1:18" x14ac:dyDescent="0.25">
      <c r="A148" s="186"/>
      <c r="B148" s="186"/>
      <c r="C148" s="186"/>
      <c r="D148" s="186"/>
      <c r="E148" s="186"/>
      <c r="F148" s="186"/>
      <c r="G148" s="186"/>
      <c r="H148" s="186"/>
      <c r="I148" s="186"/>
      <c r="J148" s="186"/>
      <c r="K148" s="186"/>
      <c r="L148" s="186"/>
      <c r="M148" s="186"/>
      <c r="N148" s="186"/>
      <c r="O148" s="186"/>
      <c r="P148" s="186"/>
      <c r="Q148" s="186"/>
      <c r="R148" s="186"/>
    </row>
    <row r="149" spans="1:18" x14ac:dyDescent="0.25">
      <c r="A149" s="186"/>
      <c r="B149" s="186"/>
      <c r="C149" s="186"/>
      <c r="D149" s="186"/>
      <c r="E149" s="186"/>
      <c r="F149" s="186"/>
      <c r="G149" s="186"/>
      <c r="H149" s="186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</row>
    <row r="150" spans="1:18" x14ac:dyDescent="0.25">
      <c r="A150" s="186"/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  <c r="N150" s="186"/>
      <c r="O150" s="186"/>
      <c r="P150" s="186"/>
      <c r="Q150" s="186"/>
      <c r="R150" s="186"/>
    </row>
    <row r="151" spans="1:18" x14ac:dyDescent="0.25">
      <c r="A151" s="186"/>
      <c r="B151" s="186"/>
      <c r="C151" s="186"/>
      <c r="D151" s="186"/>
      <c r="E151" s="186"/>
      <c r="F151" s="186"/>
      <c r="G151" s="186"/>
      <c r="H151" s="186"/>
      <c r="I151" s="186"/>
      <c r="J151" s="186"/>
      <c r="K151" s="186"/>
      <c r="L151" s="186"/>
      <c r="M151" s="186"/>
      <c r="N151" s="186"/>
      <c r="O151" s="186"/>
      <c r="P151" s="186"/>
      <c r="Q151" s="186"/>
      <c r="R151" s="186"/>
    </row>
    <row r="152" spans="1:18" x14ac:dyDescent="0.25">
      <c r="A152" s="186"/>
      <c r="B152" s="186"/>
      <c r="C152" s="186"/>
      <c r="D152" s="186"/>
      <c r="E152" s="186"/>
      <c r="F152" s="186"/>
      <c r="G152" s="186"/>
      <c r="H152" s="186"/>
      <c r="I152" s="186"/>
      <c r="J152" s="186"/>
      <c r="K152" s="186"/>
      <c r="L152" s="186"/>
      <c r="M152" s="186"/>
      <c r="N152" s="186"/>
      <c r="O152" s="186"/>
      <c r="P152" s="186"/>
      <c r="Q152" s="186"/>
      <c r="R152" s="186"/>
    </row>
    <row r="153" spans="1:18" x14ac:dyDescent="0.25">
      <c r="A153" s="186"/>
      <c r="B153" s="186"/>
      <c r="C153" s="186"/>
      <c r="D153" s="186"/>
      <c r="E153" s="186"/>
      <c r="F153" s="186"/>
      <c r="G153" s="186"/>
      <c r="H153" s="186"/>
      <c r="I153" s="186"/>
      <c r="J153" s="186"/>
      <c r="K153" s="186"/>
      <c r="L153" s="186"/>
      <c r="M153" s="186"/>
      <c r="N153" s="186"/>
      <c r="O153" s="186"/>
      <c r="P153" s="186"/>
      <c r="Q153" s="186"/>
      <c r="R153" s="186"/>
    </row>
  </sheetData>
  <sheetProtection algorithmName="SHA-512" hashValue="t0gO8tcXcOeR+dE0zVK9xvkU0XxJgoRykpjILddPHQZ6/31yNBNyEAaDC9TyqDpJtzGeMkbT1oY7FKLP0HfZdg==" saltValue="yua5gYMQimKdu205EloBWw==" spinCount="100000" sheet="1" selectLockedCells="1"/>
  <dataConsolidate/>
  <mergeCells count="36">
    <mergeCell ref="B11:P11"/>
    <mergeCell ref="B10:P10"/>
    <mergeCell ref="N4:P4"/>
    <mergeCell ref="N6:P6"/>
    <mergeCell ref="N8:P8"/>
    <mergeCell ref="B40:P40"/>
    <mergeCell ref="G42:I42"/>
    <mergeCell ref="K42:N42"/>
    <mergeCell ref="G34:I34"/>
    <mergeCell ref="G36:I36"/>
    <mergeCell ref="G38:I38"/>
    <mergeCell ref="K34:N34"/>
    <mergeCell ref="K36:N36"/>
    <mergeCell ref="K38:N38"/>
    <mergeCell ref="G32:I32"/>
    <mergeCell ref="K32:N32"/>
    <mergeCell ref="B30:P30"/>
    <mergeCell ref="B12:P12"/>
    <mergeCell ref="L25:N25"/>
    <mergeCell ref="M17:N17"/>
    <mergeCell ref="M19:N19"/>
    <mergeCell ref="B62:P62"/>
    <mergeCell ref="D128:E128"/>
    <mergeCell ref="D59:G59"/>
    <mergeCell ref="D54:G54"/>
    <mergeCell ref="D56:G56"/>
    <mergeCell ref="H56:I56"/>
    <mergeCell ref="H54:I54"/>
    <mergeCell ref="H59:I59"/>
    <mergeCell ref="B52:P52"/>
    <mergeCell ref="G48:I48"/>
    <mergeCell ref="K44:N44"/>
    <mergeCell ref="K46:N46"/>
    <mergeCell ref="K48:N48"/>
    <mergeCell ref="G44:I44"/>
    <mergeCell ref="G46:I46"/>
  </mergeCells>
  <printOptions horizontalCentered="1" verticalCentered="1"/>
  <pageMargins left="0.15748031496062992" right="0.15748031496062992" top="0.23622047244094491" bottom="0.19685039370078741" header="0.19685039370078741" footer="0.1574803149606299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'50HZ'!$S$5:$S$8</xm:f>
          </x14:formula1>
          <xm:sqref>G19</xm:sqref>
        </x14:dataValidation>
        <x14:dataValidation type="list" allowBlank="1" showInputMessage="1" showErrorMessage="1" xr:uid="{00000000-0002-0000-0000-000001000000}">
          <x14:formula1>
            <xm:f>'50HZ'!$A$6:$A$36</xm:f>
          </x14:formula1>
          <xm:sqref>G17</xm:sqref>
        </x14:dataValidation>
        <x14:dataValidation type="list" allowBlank="1" showInputMessage="1" showErrorMessage="1" xr:uid="{00000000-0002-0000-0000-000002000000}">
          <x14:formula1>
            <xm:f>'50HZ'!$U$5:$U$8</xm:f>
          </x14:formula1>
          <xm:sqref>M19:N19 M17:N17</xm:sqref>
        </x14:dataValidation>
        <x14:dataValidation type="list" allowBlank="1" showInputMessage="1" showErrorMessage="1" xr:uid="{00000000-0002-0000-0000-000003000000}">
          <x14:formula1>
            <xm:f>calcoli!$C$31:$C$32</xm:f>
          </x14:formula1>
          <xm:sqref>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B4:AI137"/>
  <sheetViews>
    <sheetView windowProtection="1" workbookViewId="0">
      <selection activeCell="S27" sqref="S27"/>
    </sheetView>
  </sheetViews>
  <sheetFormatPr defaultRowHeight="15" x14ac:dyDescent="0.25"/>
  <cols>
    <col min="6" max="6" width="13" customWidth="1"/>
    <col min="7" max="7" width="12.85546875" bestFit="1" customWidth="1"/>
    <col min="8" max="8" width="13" customWidth="1"/>
    <col min="9" max="9" width="11.85546875" bestFit="1" customWidth="1"/>
    <col min="10" max="10" width="12" bestFit="1" customWidth="1"/>
    <col min="11" max="11" width="12" customWidth="1"/>
    <col min="19" max="19" width="11.42578125" bestFit="1" customWidth="1"/>
    <col min="23" max="23" width="11.28515625" customWidth="1"/>
  </cols>
  <sheetData>
    <row r="4" spans="3:20" ht="15.75" thickBot="1" x14ac:dyDescent="0.3"/>
    <row r="5" spans="3:20" ht="15.75" thickBot="1" x14ac:dyDescent="0.3">
      <c r="C5" s="1"/>
      <c r="D5" s="2"/>
      <c r="E5" s="2"/>
      <c r="F5" s="2"/>
      <c r="G5" s="2"/>
      <c r="H5" s="2"/>
      <c r="I5" s="2"/>
      <c r="J5" s="2"/>
      <c r="K5" s="2"/>
      <c r="L5" s="2"/>
      <c r="M5" s="3"/>
    </row>
    <row r="6" spans="3:20" ht="15.75" thickBot="1" x14ac:dyDescent="0.3">
      <c r="C6" s="4"/>
      <c r="D6" s="254" t="s">
        <v>0</v>
      </c>
      <c r="E6" s="255"/>
      <c r="F6" s="255"/>
      <c r="G6" s="256"/>
      <c r="H6" s="251" t="s">
        <v>1</v>
      </c>
      <c r="I6" s="252"/>
      <c r="J6" s="252"/>
      <c r="K6" s="253"/>
      <c r="L6" s="5"/>
      <c r="M6" s="6"/>
    </row>
    <row r="7" spans="3:20" ht="15.75" thickBot="1" x14ac:dyDescent="0.3">
      <c r="C7" s="247" t="s">
        <v>8</v>
      </c>
      <c r="D7" s="248"/>
      <c r="E7" s="248"/>
      <c r="F7" s="248"/>
      <c r="G7" s="248"/>
      <c r="H7" s="248"/>
      <c r="I7" s="248"/>
      <c r="J7" s="248"/>
      <c r="K7" s="248"/>
      <c r="L7" s="248"/>
      <c r="M7" s="249"/>
    </row>
    <row r="8" spans="3:20" ht="15.75" thickBot="1" x14ac:dyDescent="0.3">
      <c r="C8" s="4"/>
      <c r="D8" s="5"/>
      <c r="E8" s="5"/>
      <c r="F8" s="5"/>
      <c r="G8" s="5"/>
      <c r="H8" s="5"/>
      <c r="I8" s="5"/>
      <c r="J8" s="5"/>
      <c r="K8" s="5"/>
      <c r="L8" s="5"/>
      <c r="M8" s="6"/>
    </row>
    <row r="9" spans="3:20" ht="15.75" thickBot="1" x14ac:dyDescent="0.3">
      <c r="C9" s="4"/>
      <c r="D9" s="257" t="s">
        <v>3</v>
      </c>
      <c r="E9" s="257"/>
      <c r="F9" s="247">
        <f>front!G17</f>
        <v>0.18</v>
      </c>
      <c r="G9" s="249"/>
      <c r="H9" s="5" t="s">
        <v>57</v>
      </c>
      <c r="I9" s="5" t="s">
        <v>17</v>
      </c>
      <c r="J9" s="10">
        <f>front!G19</f>
        <v>2</v>
      </c>
      <c r="K9" s="5" t="s">
        <v>27</v>
      </c>
      <c r="L9" s="10">
        <f>front!G21</f>
        <v>50</v>
      </c>
      <c r="M9" s="6"/>
    </row>
    <row r="10" spans="3:20" ht="15.75" thickBot="1" x14ac:dyDescent="0.3">
      <c r="C10" s="4"/>
      <c r="D10" s="5"/>
      <c r="E10" s="5"/>
      <c r="F10" s="5"/>
      <c r="G10" s="5"/>
      <c r="H10" s="5"/>
      <c r="I10" s="5"/>
      <c r="J10" s="5"/>
      <c r="K10" s="5"/>
      <c r="L10" s="5"/>
      <c r="M10" s="6"/>
      <c r="T10">
        <v>5600</v>
      </c>
    </row>
    <row r="11" spans="3:20" ht="15.75" thickBot="1" x14ac:dyDescent="0.3">
      <c r="C11" s="4"/>
      <c r="D11" s="257" t="s">
        <v>4</v>
      </c>
      <c r="E11" s="257"/>
      <c r="F11" s="247">
        <f>front!G25</f>
        <v>0</v>
      </c>
      <c r="G11" s="249"/>
      <c r="H11" s="5" t="s">
        <v>6</v>
      </c>
      <c r="I11" s="5"/>
      <c r="J11" s="250">
        <f>front!L25</f>
        <v>8000</v>
      </c>
      <c r="K11" s="249"/>
      <c r="L11" s="5" t="s">
        <v>7</v>
      </c>
      <c r="M11" s="6"/>
      <c r="S11" t="s">
        <v>45</v>
      </c>
      <c r="T11">
        <v>6600</v>
      </c>
    </row>
    <row r="12" spans="3:20" ht="15.75" thickBot="1" x14ac:dyDescent="0.3">
      <c r="C12" s="4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3:20" ht="15.75" thickBot="1" x14ac:dyDescent="0.3">
      <c r="C13" s="4"/>
      <c r="D13" s="257" t="s">
        <v>5</v>
      </c>
      <c r="E13" s="257"/>
      <c r="F13" s="247">
        <f>front!G28</f>
        <v>0.15</v>
      </c>
      <c r="G13" s="249"/>
      <c r="H13" s="5" t="s">
        <v>113</v>
      </c>
      <c r="I13" s="5"/>
      <c r="J13" s="5" t="s">
        <v>50</v>
      </c>
      <c r="K13" s="5"/>
      <c r="L13" s="5">
        <v>1</v>
      </c>
      <c r="M13" s="6"/>
      <c r="O13">
        <f>10/360*400+(360-10)/360*116</f>
        <v>123.88888888888889</v>
      </c>
      <c r="P13" s="14">
        <v>17</v>
      </c>
    </row>
    <row r="14" spans="3:20" ht="15.75" thickBot="1" x14ac:dyDescent="0.3">
      <c r="C14" s="4"/>
      <c r="D14" s="5"/>
      <c r="E14" s="5"/>
      <c r="F14" s="5"/>
      <c r="G14" s="5"/>
      <c r="H14" s="5"/>
      <c r="I14" s="5"/>
      <c r="J14" s="5" t="s">
        <v>48</v>
      </c>
      <c r="K14" s="5"/>
      <c r="L14" s="5">
        <v>30</v>
      </c>
      <c r="M14" s="6" t="s">
        <v>51</v>
      </c>
      <c r="P14" s="74" t="s">
        <v>53</v>
      </c>
      <c r="Q14">
        <v>90.1</v>
      </c>
    </row>
    <row r="15" spans="3:20" ht="15.75" thickBot="1" x14ac:dyDescent="0.3">
      <c r="C15" s="4"/>
      <c r="D15" s="5" t="s">
        <v>42</v>
      </c>
      <c r="E15" s="5"/>
      <c r="F15" s="247">
        <f>front!G14</f>
        <v>1</v>
      </c>
      <c r="G15" s="249"/>
      <c r="H15" s="5"/>
      <c r="I15" s="5"/>
      <c r="J15" s="5" t="s">
        <v>49</v>
      </c>
      <c r="K15" s="5"/>
      <c r="L15" s="5">
        <v>7</v>
      </c>
      <c r="M15" s="6"/>
      <c r="P15" s="16" t="s">
        <v>54</v>
      </c>
      <c r="Q15">
        <v>90.1</v>
      </c>
    </row>
    <row r="16" spans="3:20" ht="15.75" thickBot="1" x14ac:dyDescent="0.3">
      <c r="C16" s="7"/>
      <c r="D16" s="8"/>
      <c r="E16" s="8"/>
      <c r="F16" s="8"/>
      <c r="G16" s="8"/>
      <c r="H16" s="8"/>
      <c r="I16" s="8"/>
      <c r="J16" s="8" t="s">
        <v>52</v>
      </c>
      <c r="K16" s="8"/>
      <c r="L16" s="8"/>
      <c r="M16" s="9"/>
    </row>
    <row r="17" spans="2:35" ht="15.75" thickBot="1" x14ac:dyDescent="0.3">
      <c r="C17" s="247" t="s">
        <v>9</v>
      </c>
      <c r="D17" s="248"/>
      <c r="E17" s="248"/>
      <c r="F17" s="248"/>
      <c r="G17" s="248"/>
      <c r="H17" s="248"/>
      <c r="I17" s="248"/>
      <c r="J17" s="248"/>
      <c r="K17" s="248"/>
      <c r="L17" s="248"/>
      <c r="M17" s="249"/>
      <c r="N17" s="247" t="str">
        <f>CONCATENATE("SAVING in one ",IF(F11&lt;&gt;0,"day","year"))</f>
        <v>SAVING in one year</v>
      </c>
      <c r="O17" s="248"/>
      <c r="P17" s="248"/>
      <c r="Q17" s="248"/>
      <c r="R17" s="248"/>
      <c r="S17" s="248"/>
      <c r="T17" s="248"/>
      <c r="U17" s="248"/>
      <c r="V17" s="248"/>
      <c r="W17" s="249"/>
    </row>
    <row r="18" spans="2:35" ht="15.75" thickBot="1" x14ac:dyDescent="0.3">
      <c r="C18" s="4"/>
      <c r="D18" s="5"/>
      <c r="E18" s="5"/>
      <c r="F18" s="5"/>
      <c r="G18" s="5"/>
      <c r="H18" s="5"/>
      <c r="I18" s="5"/>
      <c r="J18" s="5"/>
      <c r="K18" s="5"/>
      <c r="L18" s="5"/>
      <c r="M18" s="6"/>
      <c r="N18" s="1"/>
      <c r="O18" s="2"/>
      <c r="P18" s="2"/>
      <c r="Q18" s="72"/>
      <c r="R18" s="72"/>
      <c r="S18" s="2"/>
      <c r="T18" s="2"/>
      <c r="U18" s="2"/>
      <c r="V18" s="2"/>
      <c r="W18" s="3"/>
    </row>
    <row r="19" spans="2:35" ht="15.75" thickBot="1" x14ac:dyDescent="0.3">
      <c r="C19" s="4"/>
      <c r="D19" s="5" t="s">
        <v>10</v>
      </c>
      <c r="E19" s="5"/>
      <c r="F19" s="5"/>
      <c r="G19" s="10" t="e">
        <f>INDEX(C36:F38,H38,H37)</f>
        <v>#N/A</v>
      </c>
      <c r="H19" s="5" t="s">
        <v>14</v>
      </c>
      <c r="I19" s="5"/>
      <c r="J19" s="10" t="e">
        <f>INDEX(C30:F32,H32,H31)</f>
        <v>#N/A</v>
      </c>
      <c r="K19" s="5" t="s">
        <v>15</v>
      </c>
      <c r="L19" s="5"/>
      <c r="M19" s="6"/>
      <c r="N19" s="4"/>
      <c r="O19" s="5"/>
      <c r="P19" s="5"/>
      <c r="Q19" s="5" t="s">
        <v>43</v>
      </c>
      <c r="R19" s="5"/>
      <c r="S19" s="5"/>
      <c r="T19" s="5"/>
      <c r="U19" s="5" t="str">
        <f>CONCATENATE(F15," motors")</f>
        <v>1 motors</v>
      </c>
      <c r="V19" s="5"/>
      <c r="W19" s="6"/>
      <c r="AC19" s="10" t="s">
        <v>65</v>
      </c>
    </row>
    <row r="20" spans="2:35" ht="15.75" thickBot="1" x14ac:dyDescent="0.3">
      <c r="C20" s="4"/>
      <c r="D20" s="5"/>
      <c r="E20" s="5"/>
      <c r="F20" s="5"/>
      <c r="G20" s="5"/>
      <c r="H20" s="5"/>
      <c r="I20" s="5"/>
      <c r="J20" s="5"/>
      <c r="K20" s="5"/>
      <c r="L20" s="5"/>
      <c r="M20" s="6"/>
      <c r="N20" s="4"/>
      <c r="O20" s="5" t="s">
        <v>40</v>
      </c>
      <c r="P20" s="5"/>
      <c r="Q20" s="245" t="e">
        <f>G21-J21</f>
        <v>#N/A</v>
      </c>
      <c r="R20" s="246"/>
      <c r="S20" s="5" t="s">
        <v>12</v>
      </c>
      <c r="T20" s="5"/>
      <c r="U20" s="245" t="e">
        <f>Q20*F15</f>
        <v>#N/A</v>
      </c>
      <c r="V20" s="246"/>
      <c r="W20" s="6" t="s">
        <v>12</v>
      </c>
      <c r="AC20" s="30" t="s">
        <v>28</v>
      </c>
      <c r="AD20" s="31" t="s">
        <v>31</v>
      </c>
      <c r="AE20" s="31" t="s">
        <v>32</v>
      </c>
      <c r="AF20" s="32" t="s">
        <v>33</v>
      </c>
      <c r="AG20" s="33" t="s">
        <v>31</v>
      </c>
      <c r="AH20" s="34" t="s">
        <v>32</v>
      </c>
      <c r="AI20" s="35" t="s">
        <v>33</v>
      </c>
    </row>
    <row r="21" spans="2:35" ht="15.75" thickBot="1" x14ac:dyDescent="0.3">
      <c r="C21" s="4"/>
      <c r="D21" s="5" t="s">
        <v>11</v>
      </c>
      <c r="E21" s="5"/>
      <c r="F21" s="5"/>
      <c r="G21" s="28" t="e">
        <f>(F9/(G19/100))*IF(F11&lt;&gt;"",F11,J11)</f>
        <v>#N/A</v>
      </c>
      <c r="H21" s="5" t="str">
        <f>CONCATENATE("kWh in one ",IF(F11&lt;&gt;0,"day","year"))</f>
        <v>kWh in one year</v>
      </c>
      <c r="I21" s="5"/>
      <c r="J21" s="28" t="e">
        <f>(F9/(J19/100))*IF(F11&lt;&gt;"",F11,J11)</f>
        <v>#N/A</v>
      </c>
      <c r="K21" s="5" t="str">
        <f>CONCATENATE("kWh in one ",IF(F11&lt;&gt;0,"day","year"))</f>
        <v>kWh in one year</v>
      </c>
      <c r="L21" s="5"/>
      <c r="M21" s="6"/>
      <c r="N21" s="4"/>
      <c r="O21" s="5"/>
      <c r="P21" s="5"/>
      <c r="Q21" s="5"/>
      <c r="R21" s="5"/>
      <c r="S21" s="5"/>
      <c r="T21" s="5"/>
      <c r="U21" s="5"/>
      <c r="V21" s="5"/>
      <c r="W21" s="6"/>
      <c r="AC21" s="36" t="s">
        <v>34</v>
      </c>
      <c r="AD21" s="37">
        <v>0.52339999999999998</v>
      </c>
      <c r="AE21" s="37">
        <v>0.52339999999999998</v>
      </c>
      <c r="AF21" s="38">
        <v>7.8600000000000003E-2</v>
      </c>
      <c r="AG21" s="39" t="e">
        <f>AD21*(LOG(front!L17))^3+AD22*(LOG(front!L17))^2+AD23*LOG(front!L17)+AD24</f>
        <v>#VALUE!</v>
      </c>
      <c r="AH21" s="40" t="e">
        <f>AE21*(LOG(front!L17))^3+AE22*(LOG(front!L17))^2+AE23*LOG(front!L17)+AE24</f>
        <v>#VALUE!</v>
      </c>
      <c r="AI21" s="41" t="e">
        <f>AF21*(LOG(front!L17))^3+AF22*(LOG(front!L17))^2+AF23*LOG(front!L17)+AF24</f>
        <v>#VALUE!</v>
      </c>
    </row>
    <row r="22" spans="2:35" ht="15.75" thickBot="1" x14ac:dyDescent="0.3">
      <c r="C22" s="4"/>
      <c r="D22" s="5"/>
      <c r="E22" s="5"/>
      <c r="F22" s="5"/>
      <c r="G22" s="5"/>
      <c r="H22" s="5"/>
      <c r="I22" s="5"/>
      <c r="J22" s="5"/>
      <c r="K22" s="5"/>
      <c r="L22" s="5"/>
      <c r="M22" s="6"/>
      <c r="N22" s="4"/>
      <c r="O22" s="5" t="s">
        <v>16</v>
      </c>
      <c r="P22" s="5"/>
      <c r="Q22" s="245" t="e">
        <f>G23-J23</f>
        <v>#N/A</v>
      </c>
      <c r="R22" s="246"/>
      <c r="S22" s="5" t="s">
        <v>13</v>
      </c>
      <c r="T22" s="5"/>
      <c r="U22" s="245" t="e">
        <f>Q22*F15</f>
        <v>#N/A</v>
      </c>
      <c r="V22" s="246"/>
      <c r="W22" s="6" t="s">
        <v>13</v>
      </c>
      <c r="AC22" s="42" t="s">
        <v>35</v>
      </c>
      <c r="AD22" s="43">
        <v>-5.0499000000000001</v>
      </c>
      <c r="AE22" s="43">
        <v>-5.0499000000000001</v>
      </c>
      <c r="AF22" s="44">
        <v>-3.5838000000000001</v>
      </c>
      <c r="AG22" s="45"/>
      <c r="AH22" s="46"/>
      <c r="AI22" s="47"/>
    </row>
    <row r="23" spans="2:35" ht="15.75" thickBot="1" x14ac:dyDescent="0.3">
      <c r="C23" s="4"/>
      <c r="D23" s="5" t="s">
        <v>2</v>
      </c>
      <c r="E23" s="5"/>
      <c r="F23" s="5"/>
      <c r="G23" s="28" t="e">
        <f>G21*F13</f>
        <v>#N/A</v>
      </c>
      <c r="H23" s="5" t="s">
        <v>13</v>
      </c>
      <c r="I23" s="5"/>
      <c r="J23" s="28" t="e">
        <f>J21*F13</f>
        <v>#N/A</v>
      </c>
      <c r="K23" s="5" t="s">
        <v>13</v>
      </c>
      <c r="L23" s="5"/>
      <c r="M23" s="6"/>
      <c r="N23" s="4"/>
      <c r="O23" s="5"/>
      <c r="P23" s="5"/>
      <c r="Q23" s="5"/>
      <c r="R23" s="5"/>
      <c r="S23" s="5"/>
      <c r="T23" s="5"/>
      <c r="U23" s="5"/>
      <c r="V23" s="5"/>
      <c r="W23" s="6"/>
      <c r="AC23" s="42" t="s">
        <v>36</v>
      </c>
      <c r="AD23" s="48">
        <v>17.417999999999999</v>
      </c>
      <c r="AE23" s="48">
        <v>17.417999999999999</v>
      </c>
      <c r="AF23" s="49">
        <v>17.291799999999999</v>
      </c>
      <c r="AG23" s="50"/>
      <c r="AH23" s="51"/>
      <c r="AI23" s="52"/>
    </row>
    <row r="24" spans="2:35" ht="15.75" thickBot="1" x14ac:dyDescent="0.3">
      <c r="C24" s="4"/>
      <c r="D24" s="5"/>
      <c r="E24" s="5"/>
      <c r="F24" s="5"/>
      <c r="G24" s="5"/>
      <c r="H24" s="5"/>
      <c r="I24" s="5"/>
      <c r="J24" s="5"/>
      <c r="K24" s="5"/>
      <c r="L24" s="5"/>
      <c r="M24" s="6"/>
      <c r="N24" s="4"/>
      <c r="O24" s="73" t="s">
        <v>41</v>
      </c>
      <c r="P24" s="5"/>
      <c r="Q24" s="245" t="e">
        <f>(S27*G21)-(S27*J21)</f>
        <v>#N/A</v>
      </c>
      <c r="R24" s="246"/>
      <c r="S24" s="5" t="s">
        <v>47</v>
      </c>
      <c r="T24" s="5"/>
      <c r="U24" s="245" t="e">
        <f>F15*Q24</f>
        <v>#N/A</v>
      </c>
      <c r="V24" s="246"/>
      <c r="W24" s="6" t="s">
        <v>47</v>
      </c>
      <c r="AC24" s="53" t="s">
        <v>37</v>
      </c>
      <c r="AD24" s="54">
        <v>74.317099999999996</v>
      </c>
      <c r="AE24" s="54">
        <v>74.317099999999996</v>
      </c>
      <c r="AF24" s="55">
        <v>72.238299999999995</v>
      </c>
      <c r="AG24" s="56"/>
      <c r="AH24" s="57"/>
      <c r="AI24" s="58"/>
    </row>
    <row r="25" spans="2:35" ht="15.75" thickBot="1" x14ac:dyDescent="0.3">
      <c r="C25" s="7"/>
      <c r="D25" s="8"/>
      <c r="E25" s="8"/>
      <c r="F25" s="8"/>
      <c r="G25" s="8"/>
      <c r="H25" s="244"/>
      <c r="I25" s="244"/>
      <c r="J25" s="8"/>
      <c r="K25" s="8"/>
      <c r="L25" s="8"/>
      <c r="M25" s="9"/>
      <c r="N25" s="7"/>
      <c r="O25" s="8"/>
      <c r="P25" s="8"/>
      <c r="Q25" s="8"/>
      <c r="R25" s="8"/>
      <c r="S25" s="8"/>
      <c r="T25" s="8"/>
      <c r="U25" s="8"/>
      <c r="V25" s="8"/>
      <c r="W25" s="9"/>
      <c r="AC25" s="30" t="s">
        <v>19</v>
      </c>
      <c r="AD25" s="31" t="s">
        <v>31</v>
      </c>
      <c r="AE25" s="31" t="s">
        <v>32</v>
      </c>
      <c r="AF25" s="32" t="s">
        <v>33</v>
      </c>
      <c r="AG25" s="33" t="s">
        <v>31</v>
      </c>
      <c r="AH25" s="34" t="s">
        <v>32</v>
      </c>
      <c r="AI25" s="35" t="s">
        <v>33</v>
      </c>
    </row>
    <row r="26" spans="2:35" x14ac:dyDescent="0.25">
      <c r="AC26" s="36" t="s">
        <v>34</v>
      </c>
      <c r="AD26" s="37">
        <v>0.29720000000000002</v>
      </c>
      <c r="AE26" s="37">
        <v>2.7799999999999998E-2</v>
      </c>
      <c r="AF26" s="38">
        <v>1.4800000000000001E-2</v>
      </c>
      <c r="AG26" s="39" t="e">
        <f>AD26*(LOG(front!L17))^3+AD27*(LOG(front!L17))^2+AD28*LOG(front!L17)+AD29</f>
        <v>#VALUE!</v>
      </c>
      <c r="AH26" s="40" t="e">
        <f>AE26*(LOG(front!L17))^3+AE27*(LOG(front!L17))^2+AE28*LOG(front!L17)+AE29</f>
        <v>#VALUE!</v>
      </c>
      <c r="AI26" s="41" t="e">
        <f>AF26*(LOG(front!L17))^3+AF27*(LOG(front!L17))^2+AF28*LOG(front!L17)+AF29</f>
        <v>#VALUE!</v>
      </c>
    </row>
    <row r="27" spans="2:35" x14ac:dyDescent="0.25">
      <c r="L27" t="s">
        <v>46</v>
      </c>
      <c r="S27" s="29">
        <f>front!J50</f>
        <v>0.65</v>
      </c>
      <c r="T27" t="s">
        <v>44</v>
      </c>
      <c r="AC27" s="42" t="s">
        <v>35</v>
      </c>
      <c r="AD27" s="43">
        <v>-3.3454000000000002</v>
      </c>
      <c r="AE27" s="43">
        <v>-1.9247000000000001</v>
      </c>
      <c r="AF27" s="44">
        <v>-2.4979</v>
      </c>
      <c r="AG27" s="45"/>
      <c r="AH27" s="46"/>
      <c r="AI27" s="47"/>
    </row>
    <row r="28" spans="2:35" x14ac:dyDescent="0.25">
      <c r="AC28" s="42" t="s">
        <v>36</v>
      </c>
      <c r="AD28" s="48">
        <v>13.065099999999999</v>
      </c>
      <c r="AE28" s="48">
        <v>10.439500000000001</v>
      </c>
      <c r="AF28" s="49">
        <v>13.247</v>
      </c>
      <c r="AG28" s="50"/>
      <c r="AH28" s="51"/>
      <c r="AI28" s="52"/>
    </row>
    <row r="29" spans="2:35" ht="15.75" thickBot="1" x14ac:dyDescent="0.3">
      <c r="B29" t="s">
        <v>19</v>
      </c>
      <c r="D29" t="s">
        <v>30</v>
      </c>
      <c r="AC29" s="59" t="s">
        <v>37</v>
      </c>
      <c r="AD29" s="60">
        <v>79.076999999999998</v>
      </c>
      <c r="AE29" s="60">
        <v>80.976100000000002</v>
      </c>
      <c r="AF29" s="61">
        <v>77.560299999999998</v>
      </c>
      <c r="AG29" s="62"/>
      <c r="AH29" s="63"/>
      <c r="AI29" s="64"/>
    </row>
    <row r="30" spans="2:35" x14ac:dyDescent="0.25">
      <c r="C30" s="27"/>
      <c r="D30" s="27">
        <v>2</v>
      </c>
      <c r="E30" s="27">
        <v>4</v>
      </c>
      <c r="F30" s="27">
        <v>6</v>
      </c>
    </row>
    <row r="31" spans="2:35" x14ac:dyDescent="0.25">
      <c r="B31" t="s">
        <v>29</v>
      </c>
      <c r="C31" s="27">
        <v>60</v>
      </c>
      <c r="D31" s="27" t="b">
        <f>IF(front!G21=60,IF(front!G19=2,VLOOKUP(front!G17,M53:N74,2)))</f>
        <v>0</v>
      </c>
      <c r="E31" s="27" t="b">
        <f>IF(front!G21=60,IF(front!G19=4,VLOOKUP(front!G17,M86:N107,2)))</f>
        <v>0</v>
      </c>
      <c r="F31" s="27" t="b">
        <f>IF(front!G21=60,IF(front!G19=6,VLOOKUP(front!G17,M117:N136,2)))</f>
        <v>0</v>
      </c>
      <c r="H31">
        <f>IF(front!G19=2,2,IF(front!G19=4,3,IF(front!G19=6,4)))</f>
        <v>2</v>
      </c>
      <c r="I31" t="s">
        <v>38</v>
      </c>
    </row>
    <row r="32" spans="2:35" x14ac:dyDescent="0.25">
      <c r="C32" s="27">
        <v>50</v>
      </c>
      <c r="D32" s="27" t="e">
        <f>IF(front!G21=50,IF(front!G19=2,VLOOKUP(front!G17,B53:D76,2)))</f>
        <v>#N/A</v>
      </c>
      <c r="E32" s="27" t="b">
        <f>IF(front!G21=50,IF(front!G19=4,VLOOKUP(front!G17,B86:C109,2)))</f>
        <v>0</v>
      </c>
      <c r="F32" s="27" t="b">
        <f>IF(front!G21=50,IF(front!G19=6,VLOOKUP(front!G17,B117:C136,2)))</f>
        <v>0</v>
      </c>
      <c r="H32">
        <f>IF(front!G21=50,3,2)</f>
        <v>3</v>
      </c>
      <c r="I32" t="s">
        <v>39</v>
      </c>
    </row>
    <row r="33" spans="2:16" x14ac:dyDescent="0.25">
      <c r="O33" s="15"/>
      <c r="P33" s="15"/>
    </row>
    <row r="34" spans="2:16" x14ac:dyDescent="0.25">
      <c r="O34" s="15"/>
      <c r="P34" s="15"/>
    </row>
    <row r="35" spans="2:16" x14ac:dyDescent="0.25">
      <c r="B35" t="s">
        <v>28</v>
      </c>
      <c r="D35" t="s">
        <v>30</v>
      </c>
      <c r="O35" s="15"/>
      <c r="P35" s="15"/>
    </row>
    <row r="36" spans="2:16" x14ac:dyDescent="0.25">
      <c r="C36" s="29"/>
      <c r="D36" s="29">
        <v>2</v>
      </c>
      <c r="E36" s="29">
        <v>4</v>
      </c>
      <c r="F36" s="29">
        <v>6</v>
      </c>
      <c r="O36" s="15"/>
      <c r="P36" s="15"/>
    </row>
    <row r="37" spans="2:16" x14ac:dyDescent="0.25">
      <c r="B37" t="s">
        <v>29</v>
      </c>
      <c r="C37" s="29">
        <v>60</v>
      </c>
      <c r="D37" s="29" t="b">
        <f>IF(front!G21=60,IF(front!G19=2,VLOOKUP(front!G17,M53:O74,3)))</f>
        <v>0</v>
      </c>
      <c r="E37" s="29" t="b">
        <f>IF(front!G21=60,IF(front!G19=4,VLOOKUP(front!G17,M86:O107,3)))</f>
        <v>0</v>
      </c>
      <c r="F37" s="29" t="b">
        <f>IF(front!G21=60,IF(front!G19=6,VLOOKUP(front!G17,M117:O136,3)))</f>
        <v>0</v>
      </c>
      <c r="H37">
        <f>IF(front!G19=2,2,IF(front!G19=4,3,IF(J9=6,4)))</f>
        <v>2</v>
      </c>
      <c r="I37" t="s">
        <v>38</v>
      </c>
      <c r="O37" s="15"/>
      <c r="P37" s="15"/>
    </row>
    <row r="38" spans="2:16" x14ac:dyDescent="0.25">
      <c r="C38" s="29">
        <v>50</v>
      </c>
      <c r="D38" s="29" t="e">
        <f>IF(front!G21=50,IF(front!G19=2,VLOOKUP(front!G17,B53:D76,3)))</f>
        <v>#N/A</v>
      </c>
      <c r="E38" s="29" t="b">
        <f>IF(front!G21=50,IF(front!G19=4,VLOOKUP(front!G17,B86:D109,3)))</f>
        <v>0</v>
      </c>
      <c r="F38" s="29" t="b">
        <f>IF(front!G21=50,IF(front!G19=6,VLOOKUP(front!G17,B117:D136,3)))</f>
        <v>0</v>
      </c>
      <c r="H38">
        <f>IF(front!G21=50,3,2)</f>
        <v>3</v>
      </c>
      <c r="I38" t="s">
        <v>39</v>
      </c>
      <c r="O38" s="15"/>
      <c r="P38" s="15"/>
    </row>
    <row r="39" spans="2:16" x14ac:dyDescent="0.25">
      <c r="O39" s="15"/>
      <c r="P39" s="15"/>
    </row>
    <row r="49" spans="2:21" x14ac:dyDescent="0.25">
      <c r="E49" s="14">
        <v>50</v>
      </c>
      <c r="O49" s="14">
        <v>60</v>
      </c>
    </row>
    <row r="50" spans="2:21" x14ac:dyDescent="0.25">
      <c r="D50" t="s">
        <v>20</v>
      </c>
      <c r="N50" t="s">
        <v>21</v>
      </c>
    </row>
    <row r="52" spans="2:21" x14ac:dyDescent="0.25">
      <c r="B52" s="65"/>
      <c r="C52" s="65" t="s">
        <v>75</v>
      </c>
      <c r="D52" s="65" t="s">
        <v>28</v>
      </c>
      <c r="E52" s="21"/>
      <c r="F52" s="18"/>
      <c r="G52" s="17"/>
      <c r="H52" s="18"/>
      <c r="I52" s="18"/>
      <c r="J52" s="18"/>
      <c r="M52" s="12" t="s">
        <v>18</v>
      </c>
      <c r="N52" s="12" t="s">
        <v>75</v>
      </c>
      <c r="O52" s="69" t="s">
        <v>28</v>
      </c>
      <c r="P52" s="18"/>
      <c r="Q52" s="18"/>
      <c r="R52" s="18"/>
      <c r="S52" s="22"/>
      <c r="T52" s="22"/>
      <c r="U52" s="22"/>
    </row>
    <row r="53" spans="2:21" x14ac:dyDescent="0.25">
      <c r="B53" s="65">
        <v>0.75</v>
      </c>
      <c r="C53" s="66">
        <v>81.400000000000006</v>
      </c>
      <c r="D53" s="67">
        <v>72.099999999999994</v>
      </c>
      <c r="E53" s="20"/>
      <c r="F53" s="78"/>
      <c r="G53" s="77"/>
      <c r="H53" s="77"/>
      <c r="I53" s="77"/>
      <c r="J53" s="79"/>
      <c r="M53" s="12">
        <v>0.75</v>
      </c>
      <c r="N53" s="13">
        <v>77</v>
      </c>
      <c r="O53" s="68">
        <v>77</v>
      </c>
      <c r="P53" s="19"/>
      <c r="Q53" s="19"/>
      <c r="R53" s="19"/>
      <c r="S53" s="22"/>
      <c r="T53" s="22"/>
      <c r="U53" s="22"/>
    </row>
    <row r="54" spans="2:21" x14ac:dyDescent="0.25">
      <c r="B54" s="65">
        <v>1.1000000000000001</v>
      </c>
      <c r="C54" s="66">
        <v>83</v>
      </c>
      <c r="D54" s="67">
        <v>75</v>
      </c>
      <c r="E54" s="20"/>
      <c r="F54" s="78"/>
      <c r="G54" s="77"/>
      <c r="H54" s="77"/>
      <c r="I54" s="77"/>
      <c r="J54" s="79"/>
      <c r="M54" s="12">
        <v>1.1000000000000001</v>
      </c>
      <c r="N54" s="13">
        <v>84</v>
      </c>
      <c r="O54" s="68">
        <v>78.5</v>
      </c>
      <c r="P54" s="19"/>
      <c r="Q54" s="19"/>
      <c r="R54" s="19"/>
      <c r="S54" s="22"/>
      <c r="T54" s="22"/>
      <c r="U54" s="22"/>
    </row>
    <row r="55" spans="2:21" x14ac:dyDescent="0.25">
      <c r="B55" s="65">
        <v>1.5</v>
      </c>
      <c r="C55" s="65">
        <v>84.8</v>
      </c>
      <c r="D55" s="67">
        <v>77.2</v>
      </c>
      <c r="E55" s="20"/>
      <c r="F55" s="78"/>
      <c r="G55" s="77"/>
      <c r="H55" s="77"/>
      <c r="I55" s="77"/>
      <c r="J55" s="79"/>
      <c r="M55" s="12">
        <v>1.5</v>
      </c>
      <c r="N55" s="13">
        <v>85.5</v>
      </c>
      <c r="O55" s="68">
        <v>81</v>
      </c>
      <c r="P55" s="19"/>
      <c r="Q55" s="19"/>
      <c r="R55" s="19"/>
      <c r="S55" s="22"/>
      <c r="T55" s="22"/>
      <c r="U55" s="22"/>
    </row>
    <row r="56" spans="2:21" x14ac:dyDescent="0.25">
      <c r="B56" s="65">
        <v>2.2000000000000002</v>
      </c>
      <c r="C56" s="65">
        <v>86.2</v>
      </c>
      <c r="D56" s="67">
        <v>79.7</v>
      </c>
      <c r="E56" s="20"/>
      <c r="F56" s="78"/>
      <c r="G56" s="77"/>
      <c r="H56" s="77"/>
      <c r="I56" s="77"/>
      <c r="J56" s="79"/>
      <c r="M56" s="12">
        <v>2.2000000000000002</v>
      </c>
      <c r="N56" s="13">
        <v>86.5</v>
      </c>
      <c r="O56" s="68">
        <v>81.5</v>
      </c>
      <c r="P56" s="19"/>
      <c r="Q56" s="19"/>
      <c r="R56" s="19"/>
      <c r="S56" s="22"/>
      <c r="T56" s="22"/>
      <c r="U56" s="22"/>
    </row>
    <row r="57" spans="2:21" x14ac:dyDescent="0.25">
      <c r="B57" s="65">
        <v>3</v>
      </c>
      <c r="C57" s="65">
        <v>87.2</v>
      </c>
      <c r="D57" s="67">
        <v>81.5</v>
      </c>
      <c r="E57" s="20"/>
      <c r="F57" s="78"/>
      <c r="G57" s="77"/>
      <c r="H57" s="77"/>
      <c r="I57" s="77"/>
      <c r="J57" s="79"/>
      <c r="M57" s="12">
        <v>3</v>
      </c>
      <c r="N57" s="13">
        <v>88.5</v>
      </c>
      <c r="O57" s="68">
        <v>84.5</v>
      </c>
      <c r="P57" s="19"/>
      <c r="Q57" s="19"/>
      <c r="R57" s="19"/>
      <c r="S57" s="22"/>
      <c r="T57" s="22"/>
      <c r="U57" s="22"/>
    </row>
    <row r="58" spans="2:21" x14ac:dyDescent="0.25">
      <c r="B58" s="65">
        <v>4</v>
      </c>
      <c r="C58" s="65">
        <v>88.1</v>
      </c>
      <c r="D58" s="67">
        <v>83.1</v>
      </c>
      <c r="E58" s="20"/>
      <c r="F58" s="78"/>
      <c r="G58" s="77"/>
      <c r="H58" s="77"/>
      <c r="I58" s="77"/>
      <c r="J58" s="79"/>
      <c r="M58" s="12">
        <v>4</v>
      </c>
      <c r="N58" s="13">
        <v>88.5</v>
      </c>
      <c r="O58" s="68">
        <v>84.5</v>
      </c>
      <c r="P58" s="19"/>
      <c r="Q58" s="19"/>
      <c r="R58" s="19"/>
      <c r="S58" s="22"/>
      <c r="T58" s="22"/>
      <c r="U58" s="22"/>
    </row>
    <row r="59" spans="2:21" x14ac:dyDescent="0.25">
      <c r="B59" s="65">
        <v>5.5</v>
      </c>
      <c r="C59" s="66">
        <v>89.2</v>
      </c>
      <c r="D59" s="67">
        <v>84.7</v>
      </c>
      <c r="E59" s="20"/>
      <c r="F59" s="78"/>
      <c r="G59" s="77"/>
      <c r="H59" s="77"/>
      <c r="I59" s="77"/>
      <c r="J59" s="79"/>
      <c r="M59" s="12">
        <v>5.5</v>
      </c>
      <c r="N59" s="13">
        <v>89.5</v>
      </c>
      <c r="O59" s="68">
        <v>86</v>
      </c>
      <c r="P59" s="19"/>
      <c r="Q59" s="19"/>
      <c r="R59" s="19"/>
      <c r="S59" s="22"/>
      <c r="T59" s="22"/>
      <c r="U59" s="22"/>
    </row>
    <row r="60" spans="2:21" x14ac:dyDescent="0.25">
      <c r="B60" s="65">
        <v>7.5</v>
      </c>
      <c r="C60" s="66">
        <v>90.1</v>
      </c>
      <c r="D60" s="67">
        <v>86</v>
      </c>
      <c r="E60" s="20"/>
      <c r="F60" s="78"/>
      <c r="G60" s="77"/>
      <c r="H60" s="77"/>
      <c r="I60" s="77"/>
      <c r="J60" s="79"/>
      <c r="M60" s="12">
        <v>7.5</v>
      </c>
      <c r="N60" s="13">
        <v>90.2</v>
      </c>
      <c r="O60" s="68">
        <v>87.5</v>
      </c>
      <c r="P60" s="19"/>
      <c r="Q60" s="19"/>
      <c r="R60" s="19"/>
      <c r="S60" s="22"/>
      <c r="T60" s="22"/>
      <c r="U60" s="22"/>
    </row>
    <row r="61" spans="2:21" x14ac:dyDescent="0.25">
      <c r="B61" s="65"/>
      <c r="C61" s="66"/>
      <c r="D61" s="66"/>
      <c r="E61" s="20"/>
      <c r="F61" s="78"/>
      <c r="G61" s="77"/>
      <c r="H61" s="77"/>
      <c r="I61" s="77"/>
      <c r="J61" s="79"/>
      <c r="M61" s="12">
        <v>11</v>
      </c>
      <c r="N61" s="13">
        <v>91</v>
      </c>
      <c r="O61" s="68">
        <v>87.5</v>
      </c>
      <c r="P61" s="19"/>
      <c r="Q61" s="19"/>
      <c r="R61" s="19"/>
      <c r="S61" s="22"/>
      <c r="T61" s="22"/>
      <c r="U61" s="22"/>
    </row>
    <row r="62" spans="2:21" x14ac:dyDescent="0.25">
      <c r="B62" s="65">
        <v>11</v>
      </c>
      <c r="C62" s="65">
        <v>91.2</v>
      </c>
      <c r="D62" s="67">
        <v>87.6</v>
      </c>
      <c r="E62" s="20"/>
      <c r="F62" s="78"/>
      <c r="G62" s="77"/>
      <c r="H62" s="77"/>
      <c r="I62" s="77"/>
      <c r="J62" s="79"/>
      <c r="M62" s="12">
        <v>15</v>
      </c>
      <c r="N62" s="13">
        <v>91</v>
      </c>
      <c r="O62" s="68">
        <v>88.5</v>
      </c>
      <c r="P62" s="19"/>
      <c r="Q62" s="19"/>
      <c r="R62" s="19"/>
      <c r="S62" s="22"/>
      <c r="T62" s="22"/>
      <c r="U62" s="22"/>
    </row>
    <row r="63" spans="2:21" x14ac:dyDescent="0.25">
      <c r="B63" s="65">
        <v>15</v>
      </c>
      <c r="C63" s="65">
        <v>91.9</v>
      </c>
      <c r="D63" s="67">
        <v>88.7</v>
      </c>
      <c r="E63" s="20"/>
      <c r="F63" s="78"/>
      <c r="G63" s="77"/>
      <c r="H63" s="77"/>
      <c r="I63" s="77"/>
      <c r="J63" s="79"/>
      <c r="M63" s="12">
        <v>18.5</v>
      </c>
      <c r="N63" s="13">
        <v>91.7</v>
      </c>
      <c r="O63" s="68">
        <v>89.5</v>
      </c>
      <c r="P63" s="19"/>
      <c r="Q63" s="19"/>
      <c r="R63" s="19"/>
      <c r="S63" s="22"/>
      <c r="T63" s="22"/>
      <c r="U63" s="22"/>
    </row>
    <row r="64" spans="2:21" x14ac:dyDescent="0.25">
      <c r="B64" s="65">
        <v>18.5</v>
      </c>
      <c r="C64" s="65">
        <v>92.4</v>
      </c>
      <c r="D64" s="67">
        <v>89.3</v>
      </c>
      <c r="E64" s="20"/>
      <c r="F64" s="78"/>
      <c r="G64" s="77"/>
      <c r="H64" s="77"/>
      <c r="I64" s="77"/>
      <c r="J64" s="79"/>
      <c r="M64" s="12">
        <v>22</v>
      </c>
      <c r="N64" s="13">
        <v>91.7</v>
      </c>
      <c r="O64" s="68">
        <v>89.5</v>
      </c>
      <c r="P64" s="19"/>
      <c r="Q64" s="19"/>
      <c r="R64" s="19"/>
      <c r="S64" s="22"/>
      <c r="T64" s="22"/>
      <c r="U64" s="22"/>
    </row>
    <row r="65" spans="2:21" x14ac:dyDescent="0.25">
      <c r="B65" s="65">
        <v>22</v>
      </c>
      <c r="C65" s="65">
        <v>92.7</v>
      </c>
      <c r="D65" s="67">
        <v>89.9</v>
      </c>
      <c r="E65" s="20"/>
      <c r="F65" s="78"/>
      <c r="G65" s="77"/>
      <c r="H65" s="77"/>
      <c r="I65" s="77"/>
      <c r="J65" s="79"/>
      <c r="M65" s="12">
        <v>30</v>
      </c>
      <c r="N65" s="13">
        <v>92.4</v>
      </c>
      <c r="O65" s="68">
        <v>90.2</v>
      </c>
      <c r="P65" s="19"/>
      <c r="Q65" s="19"/>
      <c r="R65" s="19"/>
      <c r="S65" s="22"/>
      <c r="T65" s="22"/>
      <c r="U65" s="22"/>
    </row>
    <row r="66" spans="2:21" x14ac:dyDescent="0.25">
      <c r="B66" s="65">
        <v>30</v>
      </c>
      <c r="C66" s="66">
        <v>93.3</v>
      </c>
      <c r="D66" s="67">
        <v>90.7</v>
      </c>
      <c r="E66" s="20"/>
      <c r="F66" s="78"/>
      <c r="G66" s="77"/>
      <c r="H66" s="77"/>
      <c r="I66" s="77"/>
      <c r="J66" s="79"/>
      <c r="M66" s="12">
        <v>37</v>
      </c>
      <c r="N66" s="13">
        <v>93</v>
      </c>
      <c r="O66" s="68">
        <v>91.5</v>
      </c>
      <c r="P66" s="19"/>
      <c r="Q66" s="19"/>
      <c r="R66" s="19"/>
      <c r="S66" s="22"/>
      <c r="T66" s="22"/>
      <c r="U66" s="22"/>
    </row>
    <row r="67" spans="2:21" x14ac:dyDescent="0.25">
      <c r="B67" s="65">
        <v>37</v>
      </c>
      <c r="C67" s="66">
        <v>93.7</v>
      </c>
      <c r="D67" s="67">
        <v>91.2</v>
      </c>
      <c r="E67" s="20"/>
      <c r="F67" s="78"/>
      <c r="G67" s="77"/>
      <c r="H67" s="77"/>
      <c r="I67" s="77"/>
      <c r="J67" s="79"/>
      <c r="M67" s="12">
        <v>45</v>
      </c>
      <c r="N67" s="13">
        <v>93.6</v>
      </c>
      <c r="O67" s="68">
        <v>91.7</v>
      </c>
      <c r="P67" s="19"/>
      <c r="Q67" s="19"/>
      <c r="R67" s="19"/>
      <c r="S67" s="22"/>
      <c r="T67" s="22"/>
      <c r="U67" s="22"/>
    </row>
    <row r="68" spans="2:21" x14ac:dyDescent="0.25">
      <c r="B68" s="65">
        <v>45</v>
      </c>
      <c r="C68" s="66">
        <v>94</v>
      </c>
      <c r="D68" s="67">
        <v>91.7</v>
      </c>
      <c r="E68" s="20"/>
      <c r="F68" s="78"/>
      <c r="G68" s="77"/>
      <c r="H68" s="77"/>
      <c r="I68" s="77"/>
      <c r="J68" s="79"/>
      <c r="M68" s="12">
        <v>55</v>
      </c>
      <c r="N68" s="13">
        <v>93.6</v>
      </c>
      <c r="O68" s="68">
        <v>92.4</v>
      </c>
      <c r="P68" s="19"/>
      <c r="Q68" s="19"/>
      <c r="R68" s="19"/>
      <c r="S68" s="22"/>
      <c r="T68" s="22"/>
      <c r="U68" s="22"/>
    </row>
    <row r="69" spans="2:21" x14ac:dyDescent="0.25">
      <c r="B69" s="65">
        <v>55</v>
      </c>
      <c r="C69" s="65">
        <v>94.3</v>
      </c>
      <c r="D69" s="67">
        <v>92.1</v>
      </c>
      <c r="E69" s="20"/>
      <c r="F69" s="78"/>
      <c r="G69" s="77"/>
      <c r="H69" s="77"/>
      <c r="I69" s="77"/>
      <c r="J69" s="79"/>
      <c r="M69" s="12">
        <v>75</v>
      </c>
      <c r="N69" s="13">
        <v>94.1</v>
      </c>
      <c r="O69" s="68">
        <v>93</v>
      </c>
      <c r="P69" s="19"/>
      <c r="Q69" s="19"/>
      <c r="R69" s="19"/>
      <c r="S69" s="22"/>
      <c r="T69" s="22"/>
      <c r="U69" s="22"/>
    </row>
    <row r="70" spans="2:21" x14ac:dyDescent="0.25">
      <c r="B70" s="65">
        <v>75</v>
      </c>
      <c r="C70" s="65">
        <v>94.8</v>
      </c>
      <c r="D70" s="67">
        <v>92.7</v>
      </c>
      <c r="E70" s="20"/>
      <c r="F70" s="78"/>
      <c r="G70" s="77"/>
      <c r="H70" s="77"/>
      <c r="I70" s="77"/>
      <c r="J70" s="79"/>
      <c r="M70" s="12">
        <v>90</v>
      </c>
      <c r="N70" s="13">
        <v>95</v>
      </c>
      <c r="O70" s="68">
        <v>93</v>
      </c>
      <c r="P70" s="19"/>
      <c r="Q70" s="19"/>
      <c r="R70" s="19"/>
      <c r="S70" s="22"/>
      <c r="T70" s="22"/>
      <c r="U70" s="22"/>
    </row>
    <row r="71" spans="2:21" x14ac:dyDescent="0.25">
      <c r="B71" s="65">
        <v>90</v>
      </c>
      <c r="C71" s="66">
        <v>95</v>
      </c>
      <c r="D71" s="67">
        <v>93</v>
      </c>
      <c r="E71" s="20"/>
      <c r="F71" s="78"/>
      <c r="G71" s="77"/>
      <c r="H71" s="77"/>
      <c r="I71" s="77"/>
      <c r="J71" s="79"/>
      <c r="M71" s="12">
        <v>110</v>
      </c>
      <c r="N71" s="13">
        <v>95</v>
      </c>
      <c r="O71" s="68">
        <v>93</v>
      </c>
      <c r="P71" s="19"/>
      <c r="Q71" s="19"/>
      <c r="R71" s="19"/>
      <c r="S71" s="22"/>
      <c r="T71" s="22"/>
      <c r="U71" s="22"/>
    </row>
    <row r="72" spans="2:21" x14ac:dyDescent="0.25">
      <c r="B72" s="65">
        <v>110</v>
      </c>
      <c r="C72" s="65">
        <v>95.3</v>
      </c>
      <c r="D72" s="67">
        <v>93.3</v>
      </c>
      <c r="E72" s="20"/>
      <c r="F72" s="78"/>
      <c r="G72" s="77"/>
      <c r="H72" s="77"/>
      <c r="I72" s="77"/>
      <c r="J72" s="79"/>
      <c r="M72" s="12">
        <v>132</v>
      </c>
      <c r="N72" s="13">
        <v>95.4</v>
      </c>
      <c r="O72" s="68">
        <v>94.1</v>
      </c>
      <c r="P72" s="19"/>
      <c r="Q72" s="19"/>
      <c r="R72" s="19"/>
      <c r="S72" s="22"/>
      <c r="T72" s="22"/>
      <c r="U72" s="22"/>
    </row>
    <row r="73" spans="2:21" x14ac:dyDescent="0.25">
      <c r="B73" s="65">
        <v>132</v>
      </c>
      <c r="C73" s="65">
        <v>95.5</v>
      </c>
      <c r="D73" s="65">
        <v>93.5</v>
      </c>
      <c r="E73" s="20"/>
      <c r="F73" s="78"/>
      <c r="G73" s="77"/>
      <c r="H73" s="77"/>
      <c r="I73" s="77"/>
      <c r="J73" s="79"/>
      <c r="M73" s="12">
        <v>160</v>
      </c>
      <c r="N73" s="13">
        <v>95.4</v>
      </c>
      <c r="O73" s="68">
        <v>94.1</v>
      </c>
      <c r="P73" s="19"/>
      <c r="Q73" s="19"/>
      <c r="R73" s="19"/>
      <c r="S73" s="22"/>
      <c r="T73" s="22"/>
      <c r="U73" s="22"/>
    </row>
    <row r="74" spans="2:21" x14ac:dyDescent="0.25">
      <c r="B74" s="65">
        <v>132</v>
      </c>
      <c r="C74" s="65">
        <v>95.5</v>
      </c>
      <c r="D74" s="67">
        <v>93.5</v>
      </c>
      <c r="E74" s="20"/>
      <c r="F74" s="78"/>
      <c r="G74" s="77"/>
      <c r="H74" s="77"/>
      <c r="I74" s="77"/>
      <c r="J74" s="79"/>
      <c r="M74" s="12">
        <v>200</v>
      </c>
      <c r="N74" s="13">
        <v>95.8</v>
      </c>
      <c r="O74" s="68">
        <v>94.1</v>
      </c>
      <c r="P74" s="19"/>
      <c r="Q74" s="19"/>
      <c r="R74" s="19"/>
      <c r="S74" s="22"/>
      <c r="T74" s="22"/>
      <c r="U74" s="22"/>
    </row>
    <row r="75" spans="2:21" x14ac:dyDescent="0.25">
      <c r="B75" s="65">
        <v>160</v>
      </c>
      <c r="C75" s="66">
        <v>95.7</v>
      </c>
      <c r="D75" s="67">
        <v>93.8</v>
      </c>
      <c r="E75" s="20"/>
      <c r="F75" s="78"/>
      <c r="G75" s="77"/>
      <c r="H75" s="77"/>
      <c r="I75" s="77"/>
      <c r="J75" s="79"/>
    </row>
    <row r="76" spans="2:21" x14ac:dyDescent="0.25">
      <c r="B76" s="65">
        <v>200</v>
      </c>
      <c r="C76" s="66">
        <v>95.8</v>
      </c>
      <c r="D76" s="67">
        <v>94</v>
      </c>
      <c r="E76" s="20"/>
      <c r="F76" s="78"/>
      <c r="G76" s="77"/>
      <c r="H76" s="77"/>
      <c r="I76" s="77"/>
      <c r="J76" s="79"/>
    </row>
    <row r="77" spans="2:21" x14ac:dyDescent="0.25">
      <c r="F77" s="5"/>
      <c r="G77" s="5"/>
      <c r="H77" s="5"/>
      <c r="I77" s="5"/>
      <c r="J77" s="5"/>
    </row>
    <row r="78" spans="2:21" x14ac:dyDescent="0.25">
      <c r="F78" s="5"/>
      <c r="G78" s="5"/>
      <c r="H78" s="5"/>
      <c r="I78" s="5"/>
      <c r="J78" s="5"/>
    </row>
    <row r="79" spans="2:21" x14ac:dyDescent="0.25">
      <c r="F79" s="5"/>
      <c r="G79" s="5"/>
      <c r="H79" s="5"/>
      <c r="I79" s="5"/>
      <c r="J79" s="5"/>
    </row>
    <row r="80" spans="2:21" x14ac:dyDescent="0.25">
      <c r="F80" s="5"/>
      <c r="G80" s="5"/>
      <c r="H80" s="5"/>
      <c r="I80" s="5"/>
      <c r="J80" s="5"/>
    </row>
    <row r="81" spans="2:21" x14ac:dyDescent="0.25">
      <c r="F81" s="5"/>
      <c r="G81" s="5"/>
      <c r="H81" s="5"/>
      <c r="I81" s="5"/>
      <c r="J81" s="5"/>
    </row>
    <row r="82" spans="2:21" x14ac:dyDescent="0.25">
      <c r="F82" s="5"/>
      <c r="G82" s="5"/>
      <c r="H82" s="5"/>
      <c r="I82" s="5"/>
      <c r="J82" s="5"/>
      <c r="M82" t="s">
        <v>24</v>
      </c>
    </row>
    <row r="83" spans="2:21" x14ac:dyDescent="0.25">
      <c r="C83" t="s">
        <v>22</v>
      </c>
      <c r="F83" s="5"/>
      <c r="G83" s="5"/>
      <c r="H83" s="5"/>
      <c r="I83" s="5"/>
      <c r="J83" s="5"/>
    </row>
    <row r="84" spans="2:21" x14ac:dyDescent="0.25">
      <c r="F84" s="5"/>
      <c r="G84" s="5"/>
      <c r="H84" s="5"/>
      <c r="I84" s="5"/>
      <c r="J84" s="5"/>
    </row>
    <row r="85" spans="2:21" x14ac:dyDescent="0.25">
      <c r="B85" s="12" t="s">
        <v>18</v>
      </c>
      <c r="C85" s="12" t="s">
        <v>75</v>
      </c>
      <c r="D85" s="69" t="s">
        <v>28</v>
      </c>
      <c r="E85" s="21"/>
      <c r="F85" s="17"/>
      <c r="G85" s="19"/>
      <c r="H85" s="19"/>
      <c r="I85" s="5"/>
      <c r="J85" s="19"/>
      <c r="M85" s="12" t="s">
        <v>18</v>
      </c>
      <c r="N85" s="12" t="s">
        <v>75</v>
      </c>
      <c r="O85" s="69" t="s">
        <v>28</v>
      </c>
      <c r="P85" s="21"/>
      <c r="Q85" s="18"/>
      <c r="R85" s="18"/>
      <c r="S85" s="18"/>
      <c r="T85" s="18"/>
      <c r="U85" s="18"/>
    </row>
    <row r="86" spans="2:21" x14ac:dyDescent="0.25">
      <c r="B86" s="12">
        <v>0.75</v>
      </c>
      <c r="C86" s="12">
        <v>82.9</v>
      </c>
      <c r="D86" s="70">
        <v>72.099999999999994</v>
      </c>
      <c r="E86" s="20"/>
      <c r="F86" s="80"/>
      <c r="G86" s="79"/>
      <c r="H86" s="77"/>
      <c r="I86" s="79"/>
      <c r="J86" s="79"/>
      <c r="M86" s="12">
        <v>0.75</v>
      </c>
      <c r="N86" s="12">
        <v>85.5</v>
      </c>
      <c r="O86" s="68">
        <v>78</v>
      </c>
      <c r="P86" s="20"/>
      <c r="Q86" s="19"/>
      <c r="R86" s="19"/>
      <c r="S86" s="19"/>
      <c r="T86" s="19"/>
      <c r="U86" s="19"/>
    </row>
    <row r="87" spans="2:21" x14ac:dyDescent="0.25">
      <c r="B87" s="12">
        <v>1.1000000000000001</v>
      </c>
      <c r="C87" s="12">
        <v>84.5</v>
      </c>
      <c r="D87" s="70">
        <v>75</v>
      </c>
      <c r="E87" s="20"/>
      <c r="F87" s="80"/>
      <c r="G87" s="79"/>
      <c r="H87" s="77"/>
      <c r="I87" s="79"/>
      <c r="J87" s="79"/>
      <c r="M87" s="12">
        <v>1.1000000000000001</v>
      </c>
      <c r="N87" s="12">
        <v>86.5</v>
      </c>
      <c r="O87" s="68">
        <v>79</v>
      </c>
      <c r="P87" s="20"/>
      <c r="Q87" s="23"/>
      <c r="R87" s="19"/>
      <c r="S87" s="19"/>
      <c r="T87" s="19"/>
      <c r="U87" s="19"/>
    </row>
    <row r="88" spans="2:21" x14ac:dyDescent="0.25">
      <c r="B88" s="12">
        <v>1.5</v>
      </c>
      <c r="C88" s="12">
        <v>85.6</v>
      </c>
      <c r="D88" s="70">
        <v>77.2</v>
      </c>
      <c r="E88" s="20"/>
      <c r="F88" s="80"/>
      <c r="G88" s="79"/>
      <c r="H88" s="77"/>
      <c r="I88" s="79"/>
      <c r="J88" s="79"/>
      <c r="M88" s="12">
        <v>1.5</v>
      </c>
      <c r="N88" s="12">
        <v>86.5</v>
      </c>
      <c r="O88" s="68">
        <v>81.5</v>
      </c>
      <c r="P88" s="20"/>
      <c r="Q88" s="23"/>
      <c r="R88" s="19"/>
      <c r="S88" s="19"/>
      <c r="T88" s="19"/>
      <c r="U88" s="19"/>
    </row>
    <row r="89" spans="2:21" x14ac:dyDescent="0.25">
      <c r="B89" s="12">
        <v>2.2000000000000002</v>
      </c>
      <c r="C89" s="12">
        <v>86.9</v>
      </c>
      <c r="D89" s="70">
        <v>79.7</v>
      </c>
      <c r="E89" s="20"/>
      <c r="F89" s="80"/>
      <c r="G89" s="79"/>
      <c r="H89" s="77"/>
      <c r="I89" s="79"/>
      <c r="J89" s="79"/>
      <c r="M89" s="12">
        <v>2.2000000000000002</v>
      </c>
      <c r="N89" s="12">
        <v>89.5</v>
      </c>
      <c r="O89" s="68">
        <v>83</v>
      </c>
      <c r="P89" s="20"/>
      <c r="Q89" s="23"/>
      <c r="R89" s="19"/>
      <c r="S89" s="19"/>
      <c r="T89" s="19"/>
      <c r="U89" s="19"/>
    </row>
    <row r="90" spans="2:21" x14ac:dyDescent="0.25">
      <c r="B90" s="12">
        <v>3</v>
      </c>
      <c r="C90" s="12">
        <v>87.8</v>
      </c>
      <c r="D90" s="70">
        <v>81.5</v>
      </c>
      <c r="E90" s="20"/>
      <c r="F90" s="80"/>
      <c r="G90" s="79"/>
      <c r="H90" s="77"/>
      <c r="I90" s="79"/>
      <c r="J90" s="79"/>
      <c r="M90" s="12">
        <v>3</v>
      </c>
      <c r="N90" s="12">
        <v>89.5</v>
      </c>
      <c r="O90" s="71">
        <v>85</v>
      </c>
      <c r="P90" s="20"/>
      <c r="Q90" s="23"/>
      <c r="R90" s="19"/>
      <c r="S90" s="19"/>
      <c r="T90" s="19"/>
      <c r="U90" s="19"/>
    </row>
    <row r="91" spans="2:21" x14ac:dyDescent="0.25">
      <c r="B91" s="12">
        <v>4</v>
      </c>
      <c r="C91" s="12">
        <v>88.7</v>
      </c>
      <c r="D91" s="70">
        <v>83.1</v>
      </c>
      <c r="E91" s="20"/>
      <c r="F91" s="80"/>
      <c r="G91" s="79"/>
      <c r="H91" s="77"/>
      <c r="I91" s="79"/>
      <c r="J91" s="79"/>
      <c r="M91" s="12">
        <v>4</v>
      </c>
      <c r="N91" s="12">
        <v>89.5</v>
      </c>
      <c r="O91" s="71">
        <v>85</v>
      </c>
      <c r="P91" s="20"/>
      <c r="Q91" s="23"/>
      <c r="R91" s="19"/>
      <c r="S91" s="19"/>
      <c r="T91" s="19"/>
      <c r="U91" s="19"/>
    </row>
    <row r="92" spans="2:21" x14ac:dyDescent="0.25">
      <c r="B92" s="12">
        <v>5.5</v>
      </c>
      <c r="C92" s="12">
        <v>89.6</v>
      </c>
      <c r="D92" s="70">
        <v>84.7</v>
      </c>
      <c r="E92" s="20"/>
      <c r="F92" s="80"/>
      <c r="G92" s="79"/>
      <c r="H92" s="77"/>
      <c r="I92" s="79"/>
      <c r="J92" s="79"/>
      <c r="M92" s="12">
        <v>5.5</v>
      </c>
      <c r="N92" s="12">
        <v>91.7</v>
      </c>
      <c r="O92" s="68">
        <v>87</v>
      </c>
      <c r="P92" s="20"/>
      <c r="Q92" s="23"/>
      <c r="R92" s="19"/>
      <c r="S92" s="19"/>
      <c r="T92" s="19"/>
      <c r="U92" s="19"/>
    </row>
    <row r="93" spans="2:21" x14ac:dyDescent="0.25">
      <c r="B93" s="12">
        <v>7.5</v>
      </c>
      <c r="C93" s="12">
        <v>90.4</v>
      </c>
      <c r="D93" s="70">
        <v>86</v>
      </c>
      <c r="E93" s="20"/>
      <c r="F93" s="80"/>
      <c r="G93" s="79"/>
      <c r="H93" s="77"/>
      <c r="I93" s="79"/>
      <c r="J93" s="79"/>
      <c r="M93" s="12">
        <v>7.5</v>
      </c>
      <c r="N93" s="12">
        <v>91.7</v>
      </c>
      <c r="O93" s="68">
        <v>87.5</v>
      </c>
      <c r="P93" s="20"/>
      <c r="Q93" s="23"/>
      <c r="R93" s="19"/>
      <c r="S93" s="19"/>
      <c r="T93" s="19"/>
      <c r="U93" s="19"/>
    </row>
    <row r="94" spans="2:21" x14ac:dyDescent="0.25">
      <c r="B94" s="12"/>
      <c r="C94" s="12"/>
      <c r="D94" s="11"/>
      <c r="E94" s="20"/>
      <c r="F94" s="80"/>
      <c r="G94" s="79"/>
      <c r="H94" s="77"/>
      <c r="I94" s="79"/>
      <c r="J94" s="79"/>
      <c r="M94" s="12">
        <v>11</v>
      </c>
      <c r="N94" s="13">
        <v>92.4</v>
      </c>
      <c r="O94" s="68">
        <v>88.5</v>
      </c>
      <c r="P94" s="20"/>
      <c r="Q94" s="23"/>
      <c r="R94" s="19"/>
      <c r="S94" s="19"/>
      <c r="T94" s="19"/>
      <c r="U94" s="19"/>
    </row>
    <row r="95" spans="2:21" x14ac:dyDescent="0.25">
      <c r="B95" s="12">
        <v>11</v>
      </c>
      <c r="C95" s="13">
        <v>91.4</v>
      </c>
      <c r="D95" s="70">
        <v>87.6</v>
      </c>
      <c r="E95" s="20"/>
      <c r="F95" s="80"/>
      <c r="G95" s="79"/>
      <c r="H95" s="77"/>
      <c r="I95" s="79"/>
      <c r="J95" s="79"/>
      <c r="M95" s="12">
        <v>15</v>
      </c>
      <c r="N95" s="13">
        <v>93</v>
      </c>
      <c r="O95" s="68">
        <v>89.5</v>
      </c>
      <c r="P95" s="20"/>
      <c r="Q95" s="23"/>
      <c r="R95" s="19"/>
      <c r="S95" s="19"/>
      <c r="T95" s="19"/>
      <c r="U95" s="19"/>
    </row>
    <row r="96" spans="2:21" x14ac:dyDescent="0.25">
      <c r="B96" s="12">
        <v>15</v>
      </c>
      <c r="C96" s="13">
        <v>92.1</v>
      </c>
      <c r="D96" s="70">
        <v>88.7</v>
      </c>
      <c r="E96" s="20"/>
      <c r="F96" s="80"/>
      <c r="G96" s="79"/>
      <c r="H96" s="77"/>
      <c r="I96" s="79"/>
      <c r="J96" s="79"/>
      <c r="M96" s="12">
        <v>18.5</v>
      </c>
      <c r="N96" s="12">
        <v>93.6</v>
      </c>
      <c r="O96" s="68">
        <v>90.5</v>
      </c>
      <c r="P96" s="20"/>
      <c r="Q96" s="19"/>
      <c r="R96" s="19"/>
      <c r="S96" s="19"/>
      <c r="T96" s="19"/>
      <c r="U96" s="19"/>
    </row>
    <row r="97" spans="2:21" x14ac:dyDescent="0.25">
      <c r="B97" s="12">
        <v>18.5</v>
      </c>
      <c r="C97" s="13">
        <v>92.6</v>
      </c>
      <c r="D97" s="70">
        <v>89.3</v>
      </c>
      <c r="E97" s="20"/>
      <c r="F97" s="80"/>
      <c r="G97" s="79"/>
      <c r="H97" s="77"/>
      <c r="I97" s="79"/>
      <c r="J97" s="79"/>
      <c r="M97" s="12">
        <v>22</v>
      </c>
      <c r="N97" s="12">
        <v>93.6</v>
      </c>
      <c r="O97" s="68">
        <v>91</v>
      </c>
      <c r="P97" s="20"/>
      <c r="Q97" s="23"/>
      <c r="R97" s="19"/>
      <c r="S97" s="19"/>
      <c r="T97" s="19"/>
      <c r="U97" s="19"/>
    </row>
    <row r="98" spans="2:21" x14ac:dyDescent="0.25">
      <c r="B98" s="12">
        <v>22</v>
      </c>
      <c r="C98" s="13">
        <v>93</v>
      </c>
      <c r="D98" s="70">
        <v>89.9</v>
      </c>
      <c r="E98" s="20"/>
      <c r="F98" s="80"/>
      <c r="G98" s="79"/>
      <c r="H98" s="77"/>
      <c r="I98" s="79"/>
      <c r="J98" s="79"/>
      <c r="M98" s="12">
        <v>30</v>
      </c>
      <c r="N98" s="13">
        <v>94.1</v>
      </c>
      <c r="O98" s="68">
        <v>91.7</v>
      </c>
      <c r="P98" s="20"/>
      <c r="Q98" s="23"/>
      <c r="R98" s="19"/>
      <c r="S98" s="19"/>
      <c r="T98" s="19"/>
      <c r="U98" s="19"/>
    </row>
    <row r="99" spans="2:21" x14ac:dyDescent="0.25">
      <c r="B99" s="12">
        <v>30</v>
      </c>
      <c r="C99" s="13">
        <v>93.6</v>
      </c>
      <c r="D99" s="70">
        <v>90.7</v>
      </c>
      <c r="E99" s="20"/>
      <c r="F99" s="80"/>
      <c r="G99" s="79"/>
      <c r="H99" s="77"/>
      <c r="I99" s="79"/>
      <c r="J99" s="79"/>
      <c r="M99" s="12">
        <v>37</v>
      </c>
      <c r="N99" s="13">
        <v>94.5</v>
      </c>
      <c r="O99" s="68">
        <v>92.4</v>
      </c>
      <c r="P99" s="20"/>
      <c r="Q99" s="23"/>
      <c r="R99" s="19"/>
      <c r="S99" s="24"/>
      <c r="T99" s="24"/>
      <c r="U99" s="24"/>
    </row>
    <row r="100" spans="2:21" x14ac:dyDescent="0.25">
      <c r="B100" s="12">
        <v>37</v>
      </c>
      <c r="C100" s="13">
        <v>93.9</v>
      </c>
      <c r="D100" s="70">
        <v>91.2</v>
      </c>
      <c r="E100" s="20"/>
      <c r="F100" s="80"/>
      <c r="G100" s="79"/>
      <c r="H100" s="77"/>
      <c r="I100" s="79"/>
      <c r="J100" s="79"/>
      <c r="M100" s="12">
        <v>45</v>
      </c>
      <c r="N100" s="12">
        <v>95</v>
      </c>
      <c r="O100" s="68">
        <v>93</v>
      </c>
      <c r="P100" s="20"/>
      <c r="Q100" s="23"/>
      <c r="R100" s="19"/>
      <c r="S100" s="19"/>
      <c r="T100" s="19"/>
      <c r="U100" s="19"/>
    </row>
    <row r="101" spans="2:21" x14ac:dyDescent="0.25">
      <c r="B101" s="12">
        <v>45</v>
      </c>
      <c r="C101" s="13">
        <v>94.2</v>
      </c>
      <c r="D101" s="70">
        <v>91.7</v>
      </c>
      <c r="E101" s="20"/>
      <c r="F101" s="80"/>
      <c r="G101" s="79"/>
      <c r="H101" s="77"/>
      <c r="I101" s="79"/>
      <c r="J101" s="79"/>
      <c r="M101" s="12">
        <v>55</v>
      </c>
      <c r="N101" s="12">
        <v>95.4</v>
      </c>
      <c r="O101" s="68">
        <v>93</v>
      </c>
      <c r="P101" s="20"/>
      <c r="Q101" s="23"/>
      <c r="R101" s="19"/>
      <c r="S101" s="19"/>
      <c r="T101" s="19"/>
      <c r="U101" s="19"/>
    </row>
    <row r="102" spans="2:21" x14ac:dyDescent="0.25">
      <c r="B102" s="12">
        <v>55</v>
      </c>
      <c r="C102" s="13">
        <v>94.2</v>
      </c>
      <c r="D102" s="70">
        <v>92.1</v>
      </c>
      <c r="E102" s="20"/>
      <c r="F102" s="80"/>
      <c r="G102" s="79"/>
      <c r="H102" s="77"/>
      <c r="I102" s="79"/>
      <c r="J102" s="79"/>
      <c r="M102" s="12">
        <v>75</v>
      </c>
      <c r="N102" s="12">
        <v>95.4</v>
      </c>
      <c r="O102" s="68">
        <v>93.2</v>
      </c>
      <c r="P102" s="20"/>
      <c r="Q102" s="19"/>
      <c r="R102" s="19"/>
      <c r="S102" s="19"/>
      <c r="T102" s="19"/>
      <c r="U102" s="19"/>
    </row>
    <row r="103" spans="2:21" x14ac:dyDescent="0.25">
      <c r="B103" s="12">
        <v>75</v>
      </c>
      <c r="C103" s="13">
        <v>95</v>
      </c>
      <c r="D103" s="70">
        <v>92.7</v>
      </c>
      <c r="E103" s="20"/>
      <c r="F103" s="80"/>
      <c r="G103" s="79"/>
      <c r="H103" s="77"/>
      <c r="I103" s="79"/>
      <c r="J103" s="79"/>
      <c r="M103" s="12">
        <v>90</v>
      </c>
      <c r="N103" s="12">
        <v>95.4</v>
      </c>
      <c r="O103" s="68">
        <v>93.2</v>
      </c>
      <c r="P103" s="20"/>
      <c r="Q103" s="19"/>
      <c r="R103" s="19"/>
      <c r="S103" s="19"/>
      <c r="T103" s="19"/>
      <c r="U103" s="19"/>
    </row>
    <row r="104" spans="2:21" x14ac:dyDescent="0.25">
      <c r="B104" s="12">
        <v>90</v>
      </c>
      <c r="C104" s="13">
        <v>95.2</v>
      </c>
      <c r="D104" s="70">
        <v>93</v>
      </c>
      <c r="E104" s="20"/>
      <c r="F104" s="80"/>
      <c r="G104" s="79"/>
      <c r="H104" s="77"/>
      <c r="I104" s="79"/>
      <c r="J104" s="79"/>
      <c r="M104" s="12">
        <v>110</v>
      </c>
      <c r="N104" s="13">
        <v>95.8</v>
      </c>
      <c r="O104" s="68">
        <v>93.5</v>
      </c>
      <c r="P104" s="20"/>
      <c r="Q104" s="19"/>
      <c r="R104" s="19"/>
      <c r="S104" s="19"/>
      <c r="T104" s="19"/>
      <c r="U104" s="19"/>
    </row>
    <row r="105" spans="2:21" x14ac:dyDescent="0.25">
      <c r="B105" s="12">
        <v>110</v>
      </c>
      <c r="C105" s="13">
        <v>95.5</v>
      </c>
      <c r="D105" s="70">
        <v>93.3</v>
      </c>
      <c r="E105" s="20"/>
      <c r="F105" s="80"/>
      <c r="G105" s="79"/>
      <c r="H105" s="77"/>
      <c r="I105" s="79"/>
      <c r="J105" s="79"/>
      <c r="M105" s="12">
        <v>132</v>
      </c>
      <c r="N105" s="13">
        <v>96.2</v>
      </c>
      <c r="O105" s="68">
        <v>94.5</v>
      </c>
      <c r="P105" s="20"/>
      <c r="Q105" s="19"/>
      <c r="R105" s="19"/>
      <c r="S105" s="19"/>
      <c r="T105" s="19"/>
      <c r="U105" s="19"/>
    </row>
    <row r="106" spans="2:21" x14ac:dyDescent="0.25">
      <c r="B106" s="12">
        <v>132</v>
      </c>
      <c r="C106" s="13">
        <v>95.6</v>
      </c>
      <c r="D106" s="70">
        <v>93.5</v>
      </c>
      <c r="E106" s="20"/>
      <c r="F106" s="80"/>
      <c r="G106" s="79"/>
      <c r="H106" s="77"/>
      <c r="I106" s="79"/>
      <c r="J106" s="79"/>
      <c r="M106" s="12">
        <v>160</v>
      </c>
      <c r="N106" s="12">
        <v>96.2</v>
      </c>
      <c r="O106" s="68">
        <v>94.5</v>
      </c>
      <c r="P106" s="20"/>
      <c r="Q106" s="19"/>
      <c r="R106" s="19"/>
      <c r="S106" s="19"/>
      <c r="T106" s="19"/>
      <c r="U106" s="19"/>
    </row>
    <row r="107" spans="2:21" x14ac:dyDescent="0.25">
      <c r="B107" s="12">
        <v>132</v>
      </c>
      <c r="C107" s="13">
        <v>95.6</v>
      </c>
      <c r="D107" s="70">
        <v>93.5</v>
      </c>
      <c r="E107" s="20"/>
      <c r="F107" s="80"/>
      <c r="G107" s="79"/>
      <c r="H107" s="77"/>
      <c r="I107" s="79"/>
      <c r="J107" s="79"/>
      <c r="M107" s="12">
        <v>200</v>
      </c>
      <c r="N107" s="12">
        <v>96.2</v>
      </c>
      <c r="O107" s="68">
        <v>94.5</v>
      </c>
      <c r="P107" s="20"/>
      <c r="Q107" s="19"/>
      <c r="R107" s="19"/>
      <c r="S107" s="19"/>
      <c r="T107" s="19"/>
      <c r="U107" s="19"/>
    </row>
    <row r="108" spans="2:21" x14ac:dyDescent="0.25">
      <c r="B108" s="12">
        <v>160</v>
      </c>
      <c r="C108" s="13">
        <v>95.9</v>
      </c>
      <c r="D108" s="70">
        <v>93.8</v>
      </c>
      <c r="E108" s="20"/>
      <c r="F108" s="80"/>
      <c r="G108" s="79"/>
      <c r="H108" s="77"/>
      <c r="I108" s="79"/>
      <c r="J108" s="79"/>
    </row>
    <row r="109" spans="2:21" x14ac:dyDescent="0.25">
      <c r="B109" s="12">
        <v>200</v>
      </c>
      <c r="C109" s="13">
        <v>96</v>
      </c>
      <c r="D109" s="70">
        <v>94</v>
      </c>
      <c r="E109" s="20"/>
      <c r="F109" s="80"/>
      <c r="G109" s="79"/>
      <c r="H109" s="77"/>
      <c r="I109" s="79"/>
      <c r="J109" s="79"/>
    </row>
    <row r="110" spans="2:21" x14ac:dyDescent="0.25">
      <c r="F110" s="5"/>
      <c r="G110" s="5"/>
      <c r="H110" s="5"/>
      <c r="I110" s="5"/>
      <c r="J110" s="5"/>
    </row>
    <row r="111" spans="2:21" x14ac:dyDescent="0.25">
      <c r="F111" s="5"/>
      <c r="G111" s="5"/>
      <c r="H111" s="5"/>
      <c r="I111" s="5"/>
      <c r="J111" s="5"/>
    </row>
    <row r="112" spans="2:21" x14ac:dyDescent="0.25">
      <c r="F112" s="5"/>
      <c r="G112" s="5"/>
      <c r="H112" s="5"/>
      <c r="I112" s="5"/>
      <c r="J112" s="5"/>
    </row>
    <row r="113" spans="2:22" x14ac:dyDescent="0.25">
      <c r="B113" t="s">
        <v>25</v>
      </c>
      <c r="F113" s="5"/>
      <c r="G113" s="5"/>
      <c r="H113" s="5"/>
      <c r="I113" s="5"/>
      <c r="J113" s="5"/>
      <c r="M113" t="s">
        <v>26</v>
      </c>
    </row>
    <row r="114" spans="2:22" x14ac:dyDescent="0.25">
      <c r="F114" s="5"/>
      <c r="G114" s="5"/>
      <c r="H114" s="5"/>
      <c r="I114" s="5"/>
      <c r="J114" s="5"/>
    </row>
    <row r="115" spans="2:22" x14ac:dyDescent="0.25">
      <c r="F115" s="5"/>
      <c r="G115" s="5"/>
      <c r="H115" s="5"/>
      <c r="I115" s="5"/>
      <c r="J115" s="5"/>
    </row>
    <row r="116" spans="2:22" x14ac:dyDescent="0.25">
      <c r="B116" s="12" t="s">
        <v>18</v>
      </c>
      <c r="C116" s="12" t="s">
        <v>75</v>
      </c>
      <c r="D116" s="69" t="s">
        <v>28</v>
      </c>
      <c r="E116" s="21"/>
      <c r="F116" s="18"/>
      <c r="G116" s="18"/>
      <c r="H116" s="18"/>
      <c r="I116" s="18"/>
      <c r="J116" s="18"/>
      <c r="M116" s="12" t="s">
        <v>18</v>
      </c>
      <c r="N116" s="12" t="s">
        <v>75</v>
      </c>
      <c r="O116" s="69" t="s">
        <v>28</v>
      </c>
      <c r="P116" s="21"/>
      <c r="Q116" s="18"/>
      <c r="R116" s="18"/>
      <c r="S116" s="18"/>
      <c r="T116" s="18"/>
      <c r="U116" s="18"/>
      <c r="V116" s="18"/>
    </row>
    <row r="117" spans="2:22" x14ac:dyDescent="0.25">
      <c r="B117" s="12">
        <v>0.75</v>
      </c>
      <c r="C117" s="12">
        <v>78.900000000000006</v>
      </c>
      <c r="D117" s="68">
        <v>70</v>
      </c>
      <c r="E117" s="20"/>
      <c r="F117" s="80"/>
      <c r="G117" s="77"/>
      <c r="H117" s="79"/>
      <c r="I117" s="79"/>
      <c r="J117" s="79"/>
      <c r="M117" s="12">
        <v>0.75</v>
      </c>
      <c r="N117" s="13">
        <v>82.5</v>
      </c>
      <c r="O117" s="70">
        <v>73</v>
      </c>
      <c r="P117" s="20"/>
      <c r="Q117" s="19"/>
      <c r="R117" s="19"/>
      <c r="S117" s="19"/>
      <c r="T117" s="19"/>
      <c r="U117" s="19"/>
      <c r="V117" s="24"/>
    </row>
    <row r="118" spans="2:22" x14ac:dyDescent="0.25">
      <c r="B118" s="12">
        <v>1.1000000000000001</v>
      </c>
      <c r="C118" s="12">
        <v>81</v>
      </c>
      <c r="D118" s="68">
        <v>72.900000000000006</v>
      </c>
      <c r="E118" s="20"/>
      <c r="F118" s="80"/>
      <c r="G118" s="77"/>
      <c r="H118" s="79"/>
      <c r="I118" s="79"/>
      <c r="J118" s="79"/>
      <c r="M118" s="12">
        <v>1.1000000000000001</v>
      </c>
      <c r="N118" s="12">
        <v>82.5</v>
      </c>
      <c r="O118" s="70">
        <v>75</v>
      </c>
      <c r="P118" s="20"/>
      <c r="Q118" s="19"/>
      <c r="R118" s="19"/>
      <c r="S118" s="19"/>
      <c r="T118" s="19"/>
      <c r="U118" s="19"/>
      <c r="V118" s="24"/>
    </row>
    <row r="119" spans="2:22" x14ac:dyDescent="0.25">
      <c r="B119" s="12">
        <v>1.5</v>
      </c>
      <c r="C119" s="12">
        <v>82.5</v>
      </c>
      <c r="D119" s="68">
        <v>75.2</v>
      </c>
      <c r="E119" s="20"/>
      <c r="F119" s="80"/>
      <c r="G119" s="77"/>
      <c r="H119" s="79"/>
      <c r="I119" s="79"/>
      <c r="J119" s="79"/>
      <c r="M119" s="12">
        <v>1.5</v>
      </c>
      <c r="N119" s="12">
        <v>83.7</v>
      </c>
      <c r="O119" s="70">
        <v>77</v>
      </c>
      <c r="P119" s="20"/>
      <c r="Q119" s="19"/>
      <c r="R119" s="19"/>
      <c r="S119" s="19"/>
      <c r="T119" s="19"/>
      <c r="U119" s="19"/>
      <c r="V119" s="19"/>
    </row>
    <row r="120" spans="2:22" x14ac:dyDescent="0.25">
      <c r="B120" s="12">
        <v>2.2000000000000002</v>
      </c>
      <c r="C120" s="12">
        <v>84.3</v>
      </c>
      <c r="D120" s="68">
        <v>77.7</v>
      </c>
      <c r="E120" s="20"/>
      <c r="F120" s="80"/>
      <c r="G120" s="77"/>
      <c r="H120" s="79"/>
      <c r="I120" s="79"/>
      <c r="J120" s="79"/>
      <c r="M120" s="12">
        <v>2.2000000000000002</v>
      </c>
      <c r="N120" s="12">
        <v>87.5</v>
      </c>
      <c r="O120" s="70">
        <v>78.5</v>
      </c>
      <c r="P120" s="20"/>
      <c r="Q120" s="19"/>
      <c r="R120" s="19"/>
      <c r="S120" s="19"/>
      <c r="T120" s="19"/>
      <c r="U120" s="19"/>
      <c r="V120" s="24"/>
    </row>
    <row r="121" spans="2:22" x14ac:dyDescent="0.25">
      <c r="B121" s="12">
        <v>3</v>
      </c>
      <c r="C121" s="12">
        <v>85.6</v>
      </c>
      <c r="D121" s="68">
        <v>79.7</v>
      </c>
      <c r="E121" s="20"/>
      <c r="F121" s="80"/>
      <c r="G121" s="77"/>
      <c r="H121" s="79"/>
      <c r="I121" s="79"/>
      <c r="J121" s="79"/>
      <c r="M121" s="12">
        <v>3</v>
      </c>
      <c r="N121" s="12">
        <v>88.1</v>
      </c>
      <c r="O121" s="71">
        <v>83.5</v>
      </c>
      <c r="P121" s="20"/>
      <c r="Q121" s="19"/>
      <c r="R121" s="19"/>
      <c r="S121" s="19"/>
      <c r="T121" s="19"/>
      <c r="U121" s="19"/>
      <c r="V121" s="24"/>
    </row>
    <row r="122" spans="2:22" x14ac:dyDescent="0.25">
      <c r="B122" s="12">
        <v>4</v>
      </c>
      <c r="C122" s="12">
        <v>86.8</v>
      </c>
      <c r="D122" s="68">
        <v>81.400000000000006</v>
      </c>
      <c r="E122" s="20"/>
      <c r="F122" s="80"/>
      <c r="G122" s="77"/>
      <c r="H122" s="79"/>
      <c r="I122" s="79"/>
      <c r="J122" s="79"/>
      <c r="M122" s="12">
        <v>4</v>
      </c>
      <c r="N122" s="12">
        <v>89.5</v>
      </c>
      <c r="O122" s="71">
        <v>83.5</v>
      </c>
      <c r="P122" s="20"/>
      <c r="Q122" s="19"/>
      <c r="R122" s="19"/>
      <c r="S122" s="19"/>
      <c r="T122" s="19"/>
      <c r="U122" s="19"/>
      <c r="V122" s="24"/>
    </row>
    <row r="123" spans="2:22" x14ac:dyDescent="0.25">
      <c r="B123" s="12">
        <v>5.5</v>
      </c>
      <c r="C123" s="12">
        <v>88</v>
      </c>
      <c r="D123" s="68">
        <v>83.1</v>
      </c>
      <c r="E123" s="20"/>
      <c r="F123" s="80"/>
      <c r="G123" s="77"/>
      <c r="H123" s="79"/>
      <c r="I123" s="79"/>
      <c r="J123" s="79"/>
      <c r="M123" s="12">
        <v>5.5</v>
      </c>
      <c r="N123" s="12">
        <v>89.8</v>
      </c>
      <c r="O123" s="70">
        <v>85</v>
      </c>
      <c r="P123" s="20"/>
      <c r="Q123" s="19"/>
      <c r="R123" s="19"/>
      <c r="S123" s="19"/>
      <c r="T123" s="19"/>
      <c r="U123" s="19"/>
      <c r="V123" s="24"/>
    </row>
    <row r="124" spans="2:22" x14ac:dyDescent="0.25">
      <c r="B124" s="12">
        <v>7.5</v>
      </c>
      <c r="C124" s="12">
        <v>89.1</v>
      </c>
      <c r="D124" s="68">
        <v>84.7</v>
      </c>
      <c r="E124" s="20"/>
      <c r="F124" s="80"/>
      <c r="G124" s="77"/>
      <c r="H124" s="79"/>
      <c r="I124" s="79"/>
      <c r="J124" s="79"/>
      <c r="M124" s="12">
        <v>7.5</v>
      </c>
      <c r="N124" s="12">
        <v>91</v>
      </c>
      <c r="O124" s="70">
        <v>86</v>
      </c>
      <c r="P124" s="20"/>
      <c r="Q124" s="19"/>
      <c r="R124" s="19"/>
      <c r="S124" s="19"/>
      <c r="T124" s="19"/>
      <c r="U124" s="19"/>
      <c r="V124" s="24"/>
    </row>
    <row r="125" spans="2:22" x14ac:dyDescent="0.25">
      <c r="B125" s="12">
        <v>11</v>
      </c>
      <c r="C125" s="12">
        <v>90.3</v>
      </c>
      <c r="D125" s="68">
        <v>86.4</v>
      </c>
      <c r="E125" s="20"/>
      <c r="F125" s="80"/>
      <c r="G125" s="77"/>
      <c r="H125" s="79"/>
      <c r="I125" s="79"/>
      <c r="J125" s="79"/>
      <c r="M125" s="12">
        <v>11</v>
      </c>
      <c r="N125" s="12">
        <v>91.7</v>
      </c>
      <c r="O125" s="70">
        <v>89</v>
      </c>
      <c r="P125" s="20"/>
      <c r="Q125" s="19"/>
      <c r="R125" s="19"/>
      <c r="S125" s="19"/>
      <c r="T125" s="19"/>
      <c r="U125" s="19"/>
      <c r="V125" s="24"/>
    </row>
    <row r="126" spans="2:22" x14ac:dyDescent="0.25">
      <c r="B126" s="12">
        <v>15</v>
      </c>
      <c r="C126" s="12">
        <v>91.2</v>
      </c>
      <c r="D126" s="68">
        <v>87.7</v>
      </c>
      <c r="E126" s="20"/>
      <c r="F126" s="80"/>
      <c r="G126" s="77"/>
      <c r="H126" s="79"/>
      <c r="I126" s="79"/>
      <c r="J126" s="79"/>
      <c r="M126" s="12">
        <v>15</v>
      </c>
      <c r="N126" s="12">
        <v>91.7</v>
      </c>
      <c r="O126" s="70">
        <v>89.5</v>
      </c>
      <c r="P126" s="20"/>
      <c r="Q126" s="19"/>
      <c r="R126" s="19"/>
      <c r="S126" s="19"/>
      <c r="T126" s="19"/>
      <c r="U126" s="19"/>
      <c r="V126" s="24"/>
    </row>
    <row r="127" spans="2:22" x14ac:dyDescent="0.25">
      <c r="B127" s="12">
        <v>18.5</v>
      </c>
      <c r="C127" s="12">
        <v>91.7</v>
      </c>
      <c r="D127" s="68">
        <v>88.6</v>
      </c>
      <c r="E127" s="20"/>
      <c r="F127" s="80"/>
      <c r="G127" s="77"/>
      <c r="H127" s="79"/>
      <c r="I127" s="79"/>
      <c r="J127" s="79"/>
      <c r="M127" s="12">
        <v>18.5</v>
      </c>
      <c r="N127" s="12">
        <v>93</v>
      </c>
      <c r="O127" s="70">
        <v>90.2</v>
      </c>
      <c r="P127" s="20"/>
      <c r="Q127" s="19"/>
      <c r="R127" s="19"/>
      <c r="S127" s="19"/>
      <c r="T127" s="19"/>
      <c r="U127" s="19"/>
      <c r="V127" s="19"/>
    </row>
    <row r="128" spans="2:22" x14ac:dyDescent="0.25">
      <c r="B128" s="12">
        <v>22</v>
      </c>
      <c r="C128" s="12">
        <v>92.2</v>
      </c>
      <c r="D128" s="68">
        <v>89.2</v>
      </c>
      <c r="E128" s="20"/>
      <c r="F128" s="80"/>
      <c r="G128" s="77"/>
      <c r="H128" s="79"/>
      <c r="I128" s="79"/>
      <c r="J128" s="79"/>
      <c r="M128" s="12">
        <v>22</v>
      </c>
      <c r="N128" s="12">
        <v>93</v>
      </c>
      <c r="O128" s="70">
        <v>91</v>
      </c>
      <c r="P128" s="20"/>
      <c r="Q128" s="19"/>
      <c r="R128" s="19"/>
      <c r="S128" s="19"/>
      <c r="T128" s="19"/>
      <c r="U128" s="19"/>
      <c r="V128" s="24"/>
    </row>
    <row r="129" spans="2:22" x14ac:dyDescent="0.25">
      <c r="B129" s="12">
        <v>30</v>
      </c>
      <c r="C129" s="12">
        <v>92.9</v>
      </c>
      <c r="D129" s="68">
        <v>90.2</v>
      </c>
      <c r="E129" s="20"/>
      <c r="F129" s="80"/>
      <c r="G129" s="77"/>
      <c r="H129" s="79"/>
      <c r="I129" s="79"/>
      <c r="J129" s="79"/>
      <c r="M129" s="12">
        <v>30</v>
      </c>
      <c r="N129" s="12">
        <v>94.1</v>
      </c>
      <c r="O129" s="70">
        <v>91.7</v>
      </c>
      <c r="P129" s="20"/>
      <c r="Q129" s="19"/>
      <c r="R129" s="19"/>
      <c r="S129" s="19"/>
      <c r="T129" s="19"/>
      <c r="U129" s="19"/>
      <c r="V129" s="18"/>
    </row>
    <row r="130" spans="2:22" x14ac:dyDescent="0.25">
      <c r="B130" s="12">
        <v>37</v>
      </c>
      <c r="C130" s="12">
        <v>93.3</v>
      </c>
      <c r="D130" s="68">
        <v>90.8</v>
      </c>
      <c r="E130" s="20"/>
      <c r="F130" s="80"/>
      <c r="G130" s="77"/>
      <c r="H130" s="79"/>
      <c r="I130" s="79"/>
      <c r="J130" s="79"/>
      <c r="M130" s="12">
        <v>37</v>
      </c>
      <c r="N130" s="12">
        <v>94.1</v>
      </c>
      <c r="O130" s="70">
        <v>91.7</v>
      </c>
      <c r="P130" s="20"/>
      <c r="Q130" s="19"/>
      <c r="R130" s="19"/>
      <c r="S130" s="19"/>
      <c r="T130" s="19"/>
      <c r="U130" s="19"/>
      <c r="V130" s="18"/>
    </row>
    <row r="131" spans="2:22" x14ac:dyDescent="0.25">
      <c r="B131" s="12">
        <v>45</v>
      </c>
      <c r="C131" s="12">
        <v>93.7</v>
      </c>
      <c r="D131" s="68">
        <v>91.4</v>
      </c>
      <c r="E131" s="20"/>
      <c r="F131" s="80"/>
      <c r="G131" s="77"/>
      <c r="H131" s="79"/>
      <c r="I131" s="79"/>
      <c r="J131" s="79"/>
      <c r="M131" s="12">
        <v>45</v>
      </c>
      <c r="N131" s="12">
        <v>94.5</v>
      </c>
      <c r="O131" s="70">
        <v>91.7</v>
      </c>
      <c r="P131" s="20"/>
      <c r="Q131" s="19"/>
      <c r="R131" s="19"/>
      <c r="S131" s="19"/>
      <c r="T131" s="19"/>
      <c r="U131" s="19"/>
      <c r="V131" s="19"/>
    </row>
    <row r="132" spans="2:22" x14ac:dyDescent="0.25">
      <c r="B132" s="12">
        <v>55</v>
      </c>
      <c r="C132" s="12">
        <v>94.1</v>
      </c>
      <c r="D132" s="68">
        <v>91.9</v>
      </c>
      <c r="E132" s="20"/>
      <c r="F132" s="80"/>
      <c r="G132" s="77"/>
      <c r="H132" s="79"/>
      <c r="I132" s="79"/>
      <c r="J132" s="79"/>
      <c r="M132" s="12">
        <v>55</v>
      </c>
      <c r="N132" s="12">
        <v>94.5</v>
      </c>
      <c r="O132" s="70">
        <v>92.1</v>
      </c>
      <c r="P132" s="20"/>
      <c r="Q132" s="19"/>
      <c r="R132" s="19"/>
      <c r="S132" s="19"/>
      <c r="T132" s="19"/>
      <c r="U132" s="19"/>
      <c r="V132" s="19"/>
    </row>
    <row r="133" spans="2:22" x14ac:dyDescent="0.25">
      <c r="B133" s="12">
        <v>75</v>
      </c>
      <c r="C133" s="12">
        <v>94.6</v>
      </c>
      <c r="D133" s="68">
        <v>92.6</v>
      </c>
      <c r="E133" s="20"/>
      <c r="F133" s="80"/>
      <c r="G133" s="77"/>
      <c r="H133" s="79"/>
      <c r="I133" s="79"/>
      <c r="J133" s="79"/>
      <c r="M133" s="12">
        <v>75</v>
      </c>
      <c r="N133" s="12">
        <v>95</v>
      </c>
      <c r="O133" s="70">
        <v>93</v>
      </c>
      <c r="P133" s="20"/>
      <c r="Q133" s="19"/>
      <c r="R133" s="19"/>
      <c r="S133" s="19"/>
      <c r="T133" s="19"/>
      <c r="U133" s="19"/>
      <c r="V133" s="19"/>
    </row>
    <row r="134" spans="2:22" x14ac:dyDescent="0.25">
      <c r="B134" s="12">
        <v>90</v>
      </c>
      <c r="C134" s="12">
        <v>95</v>
      </c>
      <c r="D134" s="68">
        <v>92.9</v>
      </c>
      <c r="E134" s="20"/>
      <c r="F134" s="80"/>
      <c r="G134" s="77"/>
      <c r="H134" s="79"/>
      <c r="I134" s="79"/>
      <c r="J134" s="79"/>
      <c r="M134" s="12">
        <v>90</v>
      </c>
      <c r="N134" s="12">
        <v>95</v>
      </c>
      <c r="O134" s="70">
        <v>93</v>
      </c>
      <c r="P134" s="20"/>
      <c r="Q134" s="19"/>
      <c r="R134" s="19"/>
      <c r="S134" s="19"/>
      <c r="T134" s="19"/>
      <c r="U134" s="19"/>
      <c r="V134" s="19"/>
    </row>
    <row r="135" spans="2:22" x14ac:dyDescent="0.25">
      <c r="B135" s="12">
        <v>110</v>
      </c>
      <c r="C135" s="12">
        <v>95.3</v>
      </c>
      <c r="D135" s="68">
        <v>93.3</v>
      </c>
      <c r="E135" s="20"/>
      <c r="F135" s="80"/>
      <c r="G135" s="77"/>
      <c r="H135" s="79"/>
      <c r="I135" s="79"/>
      <c r="J135" s="79"/>
      <c r="M135" s="12">
        <v>110</v>
      </c>
      <c r="N135" s="12">
        <v>95.8</v>
      </c>
      <c r="O135" s="70">
        <v>94.1</v>
      </c>
      <c r="P135" s="20"/>
      <c r="Q135" s="19"/>
      <c r="R135" s="19"/>
      <c r="S135" s="19"/>
      <c r="T135" s="19"/>
      <c r="U135" s="19"/>
      <c r="V135" s="19"/>
    </row>
    <row r="136" spans="2:22" x14ac:dyDescent="0.25">
      <c r="B136" s="12">
        <v>132</v>
      </c>
      <c r="C136" s="12">
        <v>95.5</v>
      </c>
      <c r="D136" s="68">
        <v>93.5</v>
      </c>
      <c r="E136" s="20"/>
      <c r="F136" s="80"/>
      <c r="G136" s="77"/>
      <c r="H136" s="79"/>
      <c r="I136" s="79"/>
      <c r="J136" s="79"/>
      <c r="M136" s="12">
        <v>132</v>
      </c>
      <c r="N136" s="12">
        <v>95.8</v>
      </c>
      <c r="O136" s="70">
        <v>94.1</v>
      </c>
      <c r="P136" s="20"/>
      <c r="Q136" s="19"/>
      <c r="R136" s="19"/>
      <c r="S136" s="19"/>
      <c r="T136" s="19"/>
      <c r="U136" s="19"/>
      <c r="V136" s="19"/>
    </row>
    <row r="137" spans="2:22" x14ac:dyDescent="0.25">
      <c r="F137" s="25"/>
      <c r="P137" s="26"/>
      <c r="Q137" s="22"/>
      <c r="R137" s="22"/>
      <c r="S137" s="22"/>
      <c r="T137" s="22"/>
      <c r="U137" s="22"/>
      <c r="V137" s="22"/>
    </row>
  </sheetData>
  <sheetProtection algorithmName="SHA-512" hashValue="afBIGvcRb3HQMkRVKtJEjH5HGx+2duymefWvDpRKwzEfyhbytpOt2MFGtpktxg9lLtmEqIZPDMwkGsg+iRev2g==" saltValue="+3Xd1PSvH0goVvDeS77u2w==" spinCount="100000" sheet="1" objects="1" scenarios="1" selectLockedCells="1" selectUnlockedCells="1"/>
  <dataConsolidate/>
  <mergeCells count="20">
    <mergeCell ref="J11:K11"/>
    <mergeCell ref="H6:K6"/>
    <mergeCell ref="F13:G13"/>
    <mergeCell ref="C7:M7"/>
    <mergeCell ref="C17:M17"/>
    <mergeCell ref="D6:G6"/>
    <mergeCell ref="D9:E9"/>
    <mergeCell ref="D11:E11"/>
    <mergeCell ref="D13:E13"/>
    <mergeCell ref="F9:G9"/>
    <mergeCell ref="F11:G11"/>
    <mergeCell ref="F15:G15"/>
    <mergeCell ref="H25:I25"/>
    <mergeCell ref="Q22:R22"/>
    <mergeCell ref="Q20:R20"/>
    <mergeCell ref="Q24:R24"/>
    <mergeCell ref="N17:W17"/>
    <mergeCell ref="U20:V20"/>
    <mergeCell ref="U22:V22"/>
    <mergeCell ref="U24:V24"/>
  </mergeCells>
  <dataValidations count="2">
    <dataValidation type="list" allowBlank="1" showInputMessage="1" showErrorMessage="1" sqref="K52" xr:uid="{00000000-0002-0000-0100-000000000000}">
      <formula1>C53:C76</formula1>
    </dataValidation>
    <dataValidation allowBlank="1" showInputMessage="1" showErrorMessage="1" errorTitle="not applicable" promptTitle="fill in" sqref="F9:G9" xr:uid="{00000000-0002-0000-0100-000003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B2:I67"/>
  <sheetViews>
    <sheetView windowProtection="1" workbookViewId="0">
      <selection activeCell="A2" sqref="A2"/>
    </sheetView>
  </sheetViews>
  <sheetFormatPr defaultColWidth="9.140625" defaultRowHeight="15" x14ac:dyDescent="0.25"/>
  <cols>
    <col min="1" max="1" width="9.140625" style="82"/>
    <col min="2" max="2" width="9.42578125" style="82" customWidth="1"/>
    <col min="3" max="3" width="26.140625" style="82" customWidth="1"/>
    <col min="4" max="4" width="23.140625" style="82" customWidth="1"/>
    <col min="5" max="5" width="22.7109375" style="82" customWidth="1"/>
    <col min="6" max="6" width="10.28515625" style="82" customWidth="1"/>
    <col min="7" max="16384" width="9.140625" style="82"/>
  </cols>
  <sheetData>
    <row r="2" spans="2:9" x14ac:dyDescent="0.25">
      <c r="F2" s="197">
        <v>0.05</v>
      </c>
      <c r="G2" s="82">
        <v>1500</v>
      </c>
      <c r="H2" s="82">
        <v>3</v>
      </c>
      <c r="I2" s="198">
        <f>front!$H$59</f>
        <v>18.740417302798974</v>
      </c>
    </row>
    <row r="3" spans="2:9" x14ac:dyDescent="0.25">
      <c r="B3" s="82" t="s">
        <v>78</v>
      </c>
      <c r="C3" s="82" t="s">
        <v>79</v>
      </c>
      <c r="D3" s="82" t="s">
        <v>80</v>
      </c>
      <c r="E3" s="82" t="s">
        <v>82</v>
      </c>
      <c r="F3" s="197">
        <v>0.25</v>
      </c>
      <c r="G3" s="82">
        <v>9000</v>
      </c>
      <c r="H3" s="82">
        <v>24</v>
      </c>
      <c r="I3" s="198">
        <f>front!$H$59</f>
        <v>18.740417302798974</v>
      </c>
    </row>
    <row r="4" spans="2:9" x14ac:dyDescent="0.25">
      <c r="B4" s="82">
        <v>4</v>
      </c>
      <c r="C4" s="197">
        <f>front!$G$28*front!$G$17/(front!$G$34/100)*B4</f>
        <v>0.20454545454545453</v>
      </c>
      <c r="D4" s="197">
        <f>front!$G$28*front!$G$17/(front!$K$34/100)*B4</f>
        <v>0.16388467374810317</v>
      </c>
      <c r="E4" s="198">
        <f>(front!$H$54-front!$H$56)/('Calcoli Grafici'!C4-'Calcoli Grafici'!D4)/30</f>
        <v>104.11342945999435</v>
      </c>
    </row>
    <row r="5" spans="2:9" x14ac:dyDescent="0.25">
      <c r="B5" s="82">
        <f t="shared" ref="B5:B24" si="0">B4+1</f>
        <v>5</v>
      </c>
      <c r="C5" s="197">
        <f>front!$G$28*front!$G$17/(front!$G$34/100)*B5</f>
        <v>0.25568181818181818</v>
      </c>
      <c r="D5" s="197">
        <f>front!$G$28*front!$G$17/(front!$K$34/100)*B5</f>
        <v>0.20485584218512898</v>
      </c>
      <c r="E5" s="198">
        <f>(front!$H$54-front!$H$56)/('Calcoli Grafici'!C5-'Calcoli Grafici'!D5)/30</f>
        <v>83.290743567995463</v>
      </c>
    </row>
    <row r="6" spans="2:9" x14ac:dyDescent="0.25">
      <c r="B6" s="82">
        <f t="shared" si="0"/>
        <v>6</v>
      </c>
      <c r="C6" s="197">
        <f>front!$G$28*front!$G$17/(front!$G$34/100)*B6</f>
        <v>0.30681818181818177</v>
      </c>
      <c r="D6" s="197">
        <f>front!$G$28*front!$G$17/(front!$K$34/100)*B6</f>
        <v>0.24582701062215476</v>
      </c>
      <c r="E6" s="198">
        <f>(front!$H$54-front!$H$56)/('Calcoli Grafici'!C6-'Calcoli Grafici'!D6)/30</f>
        <v>69.40895297332959</v>
      </c>
    </row>
    <row r="7" spans="2:9" x14ac:dyDescent="0.25">
      <c r="B7" s="82">
        <f t="shared" si="0"/>
        <v>7</v>
      </c>
      <c r="C7" s="197">
        <f>front!$G$28*front!$G$17/(front!$G$34/100)*B7</f>
        <v>0.35795454545454541</v>
      </c>
      <c r="D7" s="197">
        <f>front!$G$28*front!$G$17/(front!$K$34/100)*B7</f>
        <v>0.28679817905918054</v>
      </c>
      <c r="E7" s="198">
        <f>(front!$H$54-front!$H$56)/('Calcoli Grafici'!C7-'Calcoli Grafici'!D7)/30</f>
        <v>59.493388262853912</v>
      </c>
    </row>
    <row r="8" spans="2:9" x14ac:dyDescent="0.25">
      <c r="B8" s="82">
        <f t="shared" si="0"/>
        <v>8</v>
      </c>
      <c r="C8" s="197">
        <f>front!$G$28*front!$G$17/(front!$G$34/100)*B8</f>
        <v>0.40909090909090906</v>
      </c>
      <c r="D8" s="197">
        <f>front!$G$28*front!$G$17/(front!$K$34/100)*B8</f>
        <v>0.32776934749620634</v>
      </c>
      <c r="E8" s="198">
        <f>(front!$H$54-front!$H$56)/('Calcoli Grafici'!C8-'Calcoli Grafici'!D8)/30</f>
        <v>52.056714729997175</v>
      </c>
    </row>
    <row r="9" spans="2:9" x14ac:dyDescent="0.25">
      <c r="B9" s="82">
        <f t="shared" si="0"/>
        <v>9</v>
      </c>
      <c r="C9" s="197">
        <f>front!$G$28*front!$G$17/(front!$G$34/100)*B9</f>
        <v>0.46022727272727271</v>
      </c>
      <c r="D9" s="197">
        <f>front!$G$28*front!$G$17/(front!$K$34/100)*B9</f>
        <v>0.36874051593323215</v>
      </c>
      <c r="E9" s="198">
        <f>(front!$H$54-front!$H$56)/('Calcoli Grafici'!C9-'Calcoli Grafici'!D9)/30</f>
        <v>46.272635315553046</v>
      </c>
    </row>
    <row r="10" spans="2:9" x14ac:dyDescent="0.25">
      <c r="B10" s="82">
        <f t="shared" si="0"/>
        <v>10</v>
      </c>
      <c r="C10" s="197">
        <f>front!$G$28*front!$G$17/(front!$G$34/100)*B10</f>
        <v>0.51136363636363635</v>
      </c>
      <c r="D10" s="197">
        <f>front!$G$28*front!$G$17/(front!$K$34/100)*B10</f>
        <v>0.40971168437025796</v>
      </c>
      <c r="E10" s="198">
        <f>(front!$H$54-front!$H$56)/('Calcoli Grafici'!C10-'Calcoli Grafici'!D10)/30</f>
        <v>41.645371783997732</v>
      </c>
    </row>
    <row r="11" spans="2:9" x14ac:dyDescent="0.25">
      <c r="B11" s="82">
        <f t="shared" si="0"/>
        <v>11</v>
      </c>
      <c r="C11" s="197">
        <f>front!$G$28*front!$G$17/(front!$G$34/100)*B11</f>
        <v>0.5625</v>
      </c>
      <c r="D11" s="197">
        <f>front!$G$28*front!$G$17/(front!$K$34/100)*B11</f>
        <v>0.45068285280728371</v>
      </c>
      <c r="E11" s="198">
        <f>(front!$H$54-front!$H$56)/('Calcoli Grafici'!C11-'Calcoli Grafici'!D11)/30</f>
        <v>37.859428894543377</v>
      </c>
    </row>
    <row r="12" spans="2:9" x14ac:dyDescent="0.25">
      <c r="B12" s="82">
        <f t="shared" si="0"/>
        <v>12</v>
      </c>
      <c r="C12" s="197">
        <f>front!$G$28*front!$G$17/(front!$G$34/100)*B12</f>
        <v>0.61363636363636354</v>
      </c>
      <c r="D12" s="197">
        <f>front!$G$28*front!$G$17/(front!$K$34/100)*B12</f>
        <v>0.49165402124430951</v>
      </c>
      <c r="E12" s="198">
        <f>(front!$H$54-front!$H$56)/('Calcoli Grafici'!C12-'Calcoli Grafici'!D12)/30</f>
        <v>34.704476486664795</v>
      </c>
    </row>
    <row r="13" spans="2:9" x14ac:dyDescent="0.25">
      <c r="B13" s="82">
        <f t="shared" si="0"/>
        <v>13</v>
      </c>
      <c r="C13" s="197">
        <f>front!$G$28*front!$G$17/(front!$G$34/100)*B13</f>
        <v>0.66477272727272718</v>
      </c>
      <c r="D13" s="197">
        <f>front!$G$28*front!$G$17/(front!$K$34/100)*B13</f>
        <v>0.53262518968133532</v>
      </c>
      <c r="E13" s="198">
        <f>(front!$H$54-front!$H$56)/('Calcoli Grafici'!C13-'Calcoli Grafici'!D13)/30</f>
        <v>32.034901372305967</v>
      </c>
    </row>
    <row r="14" spans="2:9" x14ac:dyDescent="0.25">
      <c r="B14" s="82">
        <f t="shared" si="0"/>
        <v>14</v>
      </c>
      <c r="C14" s="197">
        <f>front!$G$28*front!$G$17/(front!$G$34/100)*B14</f>
        <v>0.71590909090909083</v>
      </c>
      <c r="D14" s="197">
        <f>front!$G$28*front!$G$17/(front!$K$34/100)*B14</f>
        <v>0.57359635811836107</v>
      </c>
      <c r="E14" s="198">
        <f>(front!$H$54-front!$H$56)/('Calcoli Grafici'!C14-'Calcoli Grafici'!D14)/30</f>
        <v>29.746694131426956</v>
      </c>
    </row>
    <row r="15" spans="2:9" x14ac:dyDescent="0.25">
      <c r="B15" s="82">
        <f t="shared" si="0"/>
        <v>15</v>
      </c>
      <c r="C15" s="197">
        <f>front!$G$28*front!$G$17/(front!$G$34/100)*B15</f>
        <v>0.76704545454545447</v>
      </c>
      <c r="D15" s="197">
        <f>front!$G$28*front!$G$17/(front!$K$34/100)*B15</f>
        <v>0.61456752655538693</v>
      </c>
      <c r="E15" s="198">
        <f>(front!$H$54-front!$H$56)/('Calcoli Grafici'!C15-'Calcoli Grafici'!D15)/30</f>
        <v>27.763581189331834</v>
      </c>
    </row>
    <row r="16" spans="2:9" x14ac:dyDescent="0.25">
      <c r="B16" s="82">
        <f t="shared" si="0"/>
        <v>16</v>
      </c>
      <c r="C16" s="197">
        <f>front!$G$28*front!$G$17/(front!$G$34/100)*B16</f>
        <v>0.81818181818181812</v>
      </c>
      <c r="D16" s="197">
        <f>front!$G$28*front!$G$17/(front!$K$34/100)*B16</f>
        <v>0.65553869499241268</v>
      </c>
      <c r="E16" s="198">
        <f>(front!$H$54-front!$H$56)/('Calcoli Grafici'!C16-'Calcoli Grafici'!D16)/30</f>
        <v>26.028357364998588</v>
      </c>
    </row>
    <row r="17" spans="2:5" x14ac:dyDescent="0.25">
      <c r="B17" s="82">
        <f>B16+1</f>
        <v>17</v>
      </c>
      <c r="C17" s="197">
        <f>front!$G$28*front!$G$17/(front!$G$34/100)*B17</f>
        <v>0.86931818181818177</v>
      </c>
      <c r="D17" s="197">
        <f>front!$G$28*front!$G$17/(front!$K$34/100)*B17</f>
        <v>0.69650986342943844</v>
      </c>
      <c r="E17" s="198">
        <f>(front!$H$54-front!$H$56)/('Calcoli Grafici'!C17-'Calcoli Grafici'!D17)/30</f>
        <v>24.497277519998661</v>
      </c>
    </row>
    <row r="18" spans="2:5" x14ac:dyDescent="0.25">
      <c r="B18" s="82">
        <f t="shared" si="0"/>
        <v>18</v>
      </c>
      <c r="C18" s="197">
        <f>front!$G$28*front!$G$17/(front!$G$34/100)*B18</f>
        <v>0.92045454545454541</v>
      </c>
      <c r="D18" s="197">
        <f>front!$G$28*front!$G$17/(front!$K$34/100)*B18</f>
        <v>0.7374810318664643</v>
      </c>
      <c r="E18" s="198">
        <f>(front!$H$54-front!$H$56)/('Calcoli Grafici'!C18-'Calcoli Grafici'!D18)/30</f>
        <v>23.136317657776523</v>
      </c>
    </row>
    <row r="19" spans="2:5" x14ac:dyDescent="0.25">
      <c r="B19" s="82">
        <f t="shared" si="0"/>
        <v>19</v>
      </c>
      <c r="C19" s="197">
        <f>front!$G$28*front!$G$17/(front!$G$34/100)*B19</f>
        <v>0.97159090909090906</v>
      </c>
      <c r="D19" s="197">
        <f>front!$G$28*front!$G$17/(front!$K$34/100)*B19</f>
        <v>0.77845220030349005</v>
      </c>
      <c r="E19" s="198">
        <f>(front!$H$54-front!$H$56)/('Calcoli Grafici'!C19-'Calcoli Grafici'!D19)/30</f>
        <v>21.918616728419856</v>
      </c>
    </row>
    <row r="20" spans="2:5" x14ac:dyDescent="0.25">
      <c r="B20" s="82">
        <f t="shared" si="0"/>
        <v>20</v>
      </c>
      <c r="C20" s="197">
        <f>front!$G$28*front!$G$17/(front!$G$34/100)*B20</f>
        <v>1.0227272727272727</v>
      </c>
      <c r="D20" s="197">
        <f>front!$G$28*front!$G$17/(front!$K$34/100)*B20</f>
        <v>0.81942336874051591</v>
      </c>
      <c r="E20" s="198">
        <f>(front!$H$54-front!$H$56)/('Calcoli Grafici'!C20-'Calcoli Grafici'!D20)/30</f>
        <v>20.822685891998866</v>
      </c>
    </row>
    <row r="21" spans="2:5" x14ac:dyDescent="0.25">
      <c r="B21" s="82">
        <f t="shared" si="0"/>
        <v>21</v>
      </c>
      <c r="C21" s="197">
        <f>front!$G$28*front!$G$17/(front!$G$34/100)*B21</f>
        <v>1.0738636363636362</v>
      </c>
      <c r="D21" s="197">
        <f>front!$G$28*front!$G$17/(front!$K$34/100)*B21</f>
        <v>0.86039453717754166</v>
      </c>
      <c r="E21" s="198">
        <f>(front!$H$54-front!$H$56)/('Calcoli Grafici'!C21-'Calcoli Grafici'!D21)/30</f>
        <v>19.83112942095131</v>
      </c>
    </row>
    <row r="22" spans="2:5" x14ac:dyDescent="0.25">
      <c r="B22" s="82">
        <f>B21+1</f>
        <v>22</v>
      </c>
      <c r="C22" s="197">
        <f>front!$G$28*front!$G$17/(front!$G$34/100)*B22</f>
        <v>1.125</v>
      </c>
      <c r="D22" s="197">
        <f>front!$G$28*front!$G$17/(front!$K$34/100)*B22</f>
        <v>0.90136570561456741</v>
      </c>
      <c r="E22" s="198">
        <f>(front!$H$54-front!$H$56)/('Calcoli Grafici'!C22-'Calcoli Grafici'!D22)/30</f>
        <v>18.929714447271689</v>
      </c>
    </row>
    <row r="23" spans="2:5" x14ac:dyDescent="0.25">
      <c r="B23" s="82">
        <f t="shared" si="0"/>
        <v>23</v>
      </c>
      <c r="C23" s="197">
        <f>front!$G$28*front!$G$17/(front!$G$34/100)*B23</f>
        <v>1.1761363636363635</v>
      </c>
      <c r="D23" s="197">
        <f>front!$G$28*front!$G$17/(front!$K$34/100)*B23</f>
        <v>0.94233687405159328</v>
      </c>
      <c r="E23" s="198">
        <f>(front!$H$54-front!$H$56)/('Calcoli Grafici'!C23-'Calcoli Grafici'!D23)/30</f>
        <v>18.106683384346848</v>
      </c>
    </row>
    <row r="24" spans="2:5" x14ac:dyDescent="0.25">
      <c r="B24" s="82">
        <f t="shared" si="0"/>
        <v>24</v>
      </c>
      <c r="C24" s="197">
        <f>front!$G$28*front!$G$17/(front!$G$34/100)*B24</f>
        <v>1.2272727272727271</v>
      </c>
      <c r="D24" s="197">
        <f>front!$G$28*front!$G$17/(front!$K$34/100)*B24</f>
        <v>0.98330804248861903</v>
      </c>
      <c r="E24" s="198">
        <f>(front!$H$54-front!$H$56)/('Calcoli Grafici'!C24-'Calcoli Grafici'!D24)/30</f>
        <v>17.352238243332398</v>
      </c>
    </row>
    <row r="25" spans="2:5" x14ac:dyDescent="0.25">
      <c r="C25" s="197"/>
      <c r="D25" s="197"/>
      <c r="E25" s="198"/>
    </row>
    <row r="27" spans="2:5" x14ac:dyDescent="0.25">
      <c r="B27" s="82" t="s">
        <v>77</v>
      </c>
      <c r="C27" s="82" t="s">
        <v>81</v>
      </c>
      <c r="D27" s="82" t="s">
        <v>83</v>
      </c>
      <c r="E27" s="82" t="s">
        <v>84</v>
      </c>
    </row>
    <row r="28" spans="2:5" x14ac:dyDescent="0.25">
      <c r="B28" s="82">
        <v>1500</v>
      </c>
      <c r="C28" s="197">
        <f>front!$G$28*front!$G$17/(front!$G$34/100)*B28</f>
        <v>76.704545454545453</v>
      </c>
      <c r="D28" s="197">
        <f>front!$G$28*front!$G$17/(front!$K$34/100)*B28</f>
        <v>61.456752655538686</v>
      </c>
      <c r="E28" s="198">
        <f>(front!$H$54-front!$H$56)/('Calcoli Grafici'!C28-'Calcoli Grafici'!D28)*12</f>
        <v>99.94889228159451</v>
      </c>
    </row>
    <row r="29" spans="2:5" x14ac:dyDescent="0.25">
      <c r="B29" s="82">
        <f t="shared" ref="B29:B42" si="1">B28+500</f>
        <v>2000</v>
      </c>
      <c r="C29" s="197">
        <f>front!$G$28*front!$G$17/(front!$G$34/100)*B29</f>
        <v>102.27272727272727</v>
      </c>
      <c r="D29" s="197">
        <f>front!$G$28*front!$G$17/(front!$K$34/100)*B29</f>
        <v>81.942336874051591</v>
      </c>
      <c r="E29" s="198">
        <f>(front!$H$54-front!$H$56)/('Calcoli Grafici'!C29-'Calcoli Grafici'!D29)*12</f>
        <v>74.961669211195954</v>
      </c>
    </row>
    <row r="30" spans="2:5" x14ac:dyDescent="0.25">
      <c r="B30" s="82">
        <f t="shared" si="1"/>
        <v>2500</v>
      </c>
      <c r="C30" s="197">
        <f>front!$G$28*front!$G$17/(front!$G$34/100)*B30</f>
        <v>127.84090909090908</v>
      </c>
      <c r="D30" s="197">
        <f>front!$G$28*front!$G$17/(front!$K$34/100)*B30</f>
        <v>102.42792109256449</v>
      </c>
      <c r="E30" s="198">
        <f>(front!$H$54-front!$H$56)/('Calcoli Grafici'!C30-'Calcoli Grafici'!D30)*12</f>
        <v>59.969335368956763</v>
      </c>
    </row>
    <row r="31" spans="2:5" x14ac:dyDescent="0.25">
      <c r="B31" s="82">
        <f t="shared" si="1"/>
        <v>3000</v>
      </c>
      <c r="C31" s="197">
        <f>front!$G$28*front!$G$17/(front!$G$34/100)*B31</f>
        <v>153.40909090909091</v>
      </c>
      <c r="D31" s="197">
        <f>front!$G$28*front!$G$17/(front!$K$34/100)*B31</f>
        <v>122.91350531107737</v>
      </c>
      <c r="E31" s="198">
        <f>(front!$H$54-front!$H$56)/('Calcoli Grafici'!C31-'Calcoli Grafici'!D31)*12</f>
        <v>49.974446140797255</v>
      </c>
    </row>
    <row r="32" spans="2:5" x14ac:dyDescent="0.25">
      <c r="B32" s="82">
        <f t="shared" si="1"/>
        <v>3500</v>
      </c>
      <c r="C32" s="197">
        <f>front!$G$28*front!$G$17/(front!$G$34/100)*B32</f>
        <v>178.97727272727272</v>
      </c>
      <c r="D32" s="197">
        <f>front!$G$28*front!$G$17/(front!$K$34/100)*B32</f>
        <v>143.39908952959027</v>
      </c>
      <c r="E32" s="198">
        <f>(front!$H$54-front!$H$56)/('Calcoli Grafici'!C32-'Calcoli Grafici'!D32)*12</f>
        <v>42.835239549254801</v>
      </c>
    </row>
    <row r="33" spans="2:8" x14ac:dyDescent="0.25">
      <c r="B33" s="82">
        <f t="shared" si="1"/>
        <v>4000</v>
      </c>
      <c r="C33" s="197">
        <f>front!$G$28*front!$G$17/(front!$G$34/100)*B33</f>
        <v>204.54545454545453</v>
      </c>
      <c r="D33" s="197">
        <f>front!$G$28*front!$G$17/(front!$K$34/100)*B33</f>
        <v>163.88467374810318</v>
      </c>
      <c r="E33" s="198">
        <f>(front!$H$54-front!$H$56)/('Calcoli Grafici'!C33-'Calcoli Grafici'!D33)*12</f>
        <v>37.480834605597977</v>
      </c>
    </row>
    <row r="34" spans="2:8" x14ac:dyDescent="0.25">
      <c r="B34" s="82">
        <f t="shared" si="1"/>
        <v>4500</v>
      </c>
      <c r="C34" s="197">
        <f>front!$G$28*front!$G$17/(front!$G$34/100)*B34</f>
        <v>230.11363636363635</v>
      </c>
      <c r="D34" s="197">
        <f>front!$G$28*front!$G$17/(front!$K$34/100)*B34</f>
        <v>184.37025796661607</v>
      </c>
      <c r="E34" s="198">
        <f>(front!$H$54-front!$H$56)/('Calcoli Grafici'!C34-'Calcoli Grafici'!D34)*12</f>
        <v>33.316297427198194</v>
      </c>
    </row>
    <row r="35" spans="2:8" x14ac:dyDescent="0.25">
      <c r="B35" s="82">
        <f t="shared" si="1"/>
        <v>5000</v>
      </c>
      <c r="C35" s="197">
        <f>front!$G$28*front!$G$17/(front!$G$34/100)*B35</f>
        <v>255.68181818181816</v>
      </c>
      <c r="D35" s="197">
        <f>front!$G$28*front!$G$17/(front!$K$34/100)*B35</f>
        <v>204.85584218512898</v>
      </c>
      <c r="E35" s="198">
        <f>(front!$H$54-front!$H$56)/('Calcoli Grafici'!C35-'Calcoli Grafici'!D35)*12</f>
        <v>29.984667684478381</v>
      </c>
    </row>
    <row r="36" spans="2:8" x14ac:dyDescent="0.25">
      <c r="B36" s="82">
        <f t="shared" si="1"/>
        <v>5500</v>
      </c>
      <c r="C36" s="197">
        <f>front!$G$28*front!$G$17/(front!$G$34/100)*B36</f>
        <v>281.25</v>
      </c>
      <c r="D36" s="197">
        <f>front!$G$28*front!$G$17/(front!$K$34/100)*B36</f>
        <v>225.34142640364186</v>
      </c>
      <c r="E36" s="198">
        <f>(front!$H$54-front!$H$56)/('Calcoli Grafici'!C36-'Calcoli Grafici'!D36)*12</f>
        <v>27.258788804071237</v>
      </c>
    </row>
    <row r="37" spans="2:8" x14ac:dyDescent="0.25">
      <c r="B37" s="82">
        <f t="shared" si="1"/>
        <v>6000</v>
      </c>
      <c r="C37" s="197">
        <f>front!$G$28*front!$G$17/(front!$G$34/100)*B37</f>
        <v>306.81818181818181</v>
      </c>
      <c r="D37" s="197">
        <f>front!$G$28*front!$G$17/(front!$K$34/100)*B37</f>
        <v>245.82701062215475</v>
      </c>
      <c r="E37" s="198">
        <f>(front!$H$54-front!$H$56)/('Calcoli Grafici'!C37-'Calcoli Grafici'!D37)*12</f>
        <v>24.987223070398628</v>
      </c>
    </row>
    <row r="38" spans="2:8" x14ac:dyDescent="0.25">
      <c r="B38" s="82">
        <f t="shared" si="1"/>
        <v>6500</v>
      </c>
      <c r="C38" s="197">
        <f>front!$G$28*front!$G$17/(front!$G$34/100)*B38</f>
        <v>332.38636363636363</v>
      </c>
      <c r="D38" s="197">
        <f>front!$G$28*front!$G$17/(front!$K$34/100)*B38</f>
        <v>266.31259484066766</v>
      </c>
      <c r="E38" s="198">
        <f>(front!$H$54-front!$H$56)/('Calcoli Grafici'!C38-'Calcoli Grafici'!D38)*12</f>
        <v>23.06512898806028</v>
      </c>
    </row>
    <row r="39" spans="2:8" x14ac:dyDescent="0.25">
      <c r="B39" s="82">
        <f t="shared" si="1"/>
        <v>7000</v>
      </c>
      <c r="C39" s="197">
        <f>front!$G$28*front!$G$17/(front!$G$34/100)*B39</f>
        <v>357.95454545454544</v>
      </c>
      <c r="D39" s="197">
        <f>front!$G$28*front!$G$17/(front!$K$34/100)*B39</f>
        <v>286.79817905918054</v>
      </c>
      <c r="E39" s="198">
        <f>(front!$H$54-front!$H$56)/('Calcoli Grafici'!C39-'Calcoli Grafici'!D39)*12</f>
        <v>21.417619774627401</v>
      </c>
    </row>
    <row r="40" spans="2:8" x14ac:dyDescent="0.25">
      <c r="B40" s="82">
        <f>B39+500</f>
        <v>7500</v>
      </c>
      <c r="C40" s="197">
        <f>front!$G$28*front!$G$17/(front!$G$34/100)*B40</f>
        <v>383.52272727272725</v>
      </c>
      <c r="D40" s="197">
        <f>front!$G$28*front!$G$17/(front!$K$34/100)*B40</f>
        <v>307.28376327769342</v>
      </c>
      <c r="E40" s="198">
        <f>(front!$H$54-front!$H$56)/('Calcoli Grafici'!C40-'Calcoli Grafici'!D40)*12</f>
        <v>19.989778456318906</v>
      </c>
    </row>
    <row r="41" spans="2:8" x14ac:dyDescent="0.25">
      <c r="B41" s="82">
        <f t="shared" si="1"/>
        <v>8000</v>
      </c>
      <c r="C41" s="197">
        <f>front!$G$28*front!$G$17/(front!$G$34/100)*B41</f>
        <v>409.09090909090907</v>
      </c>
      <c r="D41" s="197">
        <f>front!$G$28*front!$G$17/(front!$K$34/100)*B41</f>
        <v>327.76934749620636</v>
      </c>
      <c r="E41" s="198">
        <f>(front!$H$54-front!$H$56)/('Calcoli Grafici'!C41-'Calcoli Grafici'!D41)*12</f>
        <v>18.740417302798988</v>
      </c>
    </row>
    <row r="42" spans="2:8" x14ac:dyDescent="0.25">
      <c r="B42" s="82">
        <f t="shared" si="1"/>
        <v>8500</v>
      </c>
      <c r="C42" s="197">
        <f>front!$G$28*front!$G$17/(front!$G$34/100)*B42</f>
        <v>434.65909090909088</v>
      </c>
      <c r="D42" s="197">
        <f>front!$G$28*front!$G$17/(front!$K$34/100)*B42</f>
        <v>348.25493171471925</v>
      </c>
      <c r="E42" s="198">
        <f>(front!$H$54-front!$H$56)/('Calcoli Grafici'!C42-'Calcoli Grafici'!D42)*12</f>
        <v>17.638039814399043</v>
      </c>
    </row>
    <row r="46" spans="2:8" x14ac:dyDescent="0.25">
      <c r="B46" s="193" t="s">
        <v>86</v>
      </c>
      <c r="C46" s="82" t="s">
        <v>88</v>
      </c>
      <c r="D46" s="82" t="s">
        <v>89</v>
      </c>
      <c r="E46" s="82" t="s">
        <v>82</v>
      </c>
      <c r="F46" s="82" t="s">
        <v>87</v>
      </c>
      <c r="G46" s="82">
        <f>IF(front!G25&lt;&gt;0,front!G25,front!L25)</f>
        <v>8000</v>
      </c>
      <c r="H46" s="82" t="str">
        <f>IF(front!G25&lt;&gt;0,"h/d","h/y")</f>
        <v>h/y</v>
      </c>
    </row>
    <row r="47" spans="2:8" x14ac:dyDescent="0.25">
      <c r="B47" s="197">
        <v>0.05</v>
      </c>
      <c r="C47" s="197">
        <f>B47*front!$G$17/(front!$G$34/100)*'Calcoli Grafici'!$G$46</f>
        <v>136.36363636363635</v>
      </c>
      <c r="D47" s="197">
        <f>B47*front!$G$17/(front!$K$34/100)*'Calcoli Grafici'!$G$46</f>
        <v>109.25644916540212</v>
      </c>
      <c r="E47" s="198">
        <f>IF(front!$G$25&lt;&gt;0,(front!$H$54-front!$H$56)/('Calcoli Grafici'!C47-'Calcoli Grafici'!D47)/30,(front!$H$54-front!$H$56)/('Calcoli Grafici'!C47-'Calcoli Grafici'!D47)*12)</f>
        <v>56.221251908396965</v>
      </c>
    </row>
    <row r="48" spans="2:8" x14ac:dyDescent="0.25">
      <c r="B48" s="197">
        <v>0.06</v>
      </c>
      <c r="C48" s="197">
        <f>B48*front!$G$17/(front!$G$34/100)*'Calcoli Grafici'!$G$46</f>
        <v>163.6363636363636</v>
      </c>
      <c r="D48" s="197">
        <f>B48*front!$G$17/(front!$K$34/100)*'Calcoli Grafici'!$G$46</f>
        <v>131.10773899848252</v>
      </c>
      <c r="E48" s="198">
        <f>IF(front!$G$25&lt;&gt;0,(front!$H$54-front!$H$56)/('Calcoli Grafici'!C48-'Calcoli Grafici'!D48)/30,(front!$H$54-front!$H$56)/('Calcoli Grafici'!C48-'Calcoli Grafici'!D48)*12)</f>
        <v>46.851043256997464</v>
      </c>
    </row>
    <row r="49" spans="2:5" x14ac:dyDescent="0.25">
      <c r="B49" s="197">
        <v>7.0000000000000007E-2</v>
      </c>
      <c r="C49" s="197">
        <f>B49*front!$G$17/(front!$G$34/100)*'Calcoli Grafici'!$G$46</f>
        <v>190.90909090909088</v>
      </c>
      <c r="D49" s="197">
        <f>B49*front!$G$17/(front!$K$34/100)*'Calcoli Grafici'!$G$46</f>
        <v>152.95902883156299</v>
      </c>
      <c r="E49" s="198">
        <f>IF(front!$G$25&lt;&gt;0,(front!$H$54-front!$H$56)/('Calcoli Grafici'!C49-'Calcoli Grafici'!D49)/30,(front!$H$54-front!$H$56)/('Calcoli Grafici'!C49-'Calcoli Grafici'!D49)*12)</f>
        <v>40.158037077426442</v>
      </c>
    </row>
    <row r="50" spans="2:5" x14ac:dyDescent="0.25">
      <c r="B50" s="197">
        <f>B49+0.01</f>
        <v>0.08</v>
      </c>
      <c r="C50" s="197">
        <f>B50*front!$G$17/(front!$G$34/100)*'Calcoli Grafici'!$G$46</f>
        <v>218.18181818181816</v>
      </c>
      <c r="D50" s="197">
        <f>B50*front!$G$17/(front!$K$34/100)*'Calcoli Grafici'!$G$46</f>
        <v>174.81031866464338</v>
      </c>
      <c r="E50" s="198">
        <f>IF(front!$G$25&lt;&gt;0,(front!$H$54-front!$H$56)/('Calcoli Grafici'!C50-'Calcoli Grafici'!D50)/30,(front!$H$54-front!$H$56)/('Calcoli Grafici'!C50-'Calcoli Grafici'!D50)*12)</f>
        <v>35.138282442748093</v>
      </c>
    </row>
    <row r="51" spans="2:5" x14ac:dyDescent="0.25">
      <c r="B51" s="197">
        <f t="shared" ref="B51:B67" si="2">B50+0.01</f>
        <v>0.09</v>
      </c>
      <c r="C51" s="197">
        <f>B51*front!$G$17/(front!$G$34/100)*'Calcoli Grafici'!$G$46</f>
        <v>245.45454545454544</v>
      </c>
      <c r="D51" s="197">
        <f>B51*front!$G$17/(front!$K$34/100)*'Calcoli Grafici'!$G$46</f>
        <v>196.66160849772379</v>
      </c>
      <c r="E51" s="198">
        <f>IF(front!$G$25&lt;&gt;0,(front!$H$54-front!$H$56)/('Calcoli Grafici'!C51-'Calcoli Grafici'!D51)/30,(front!$H$54-front!$H$56)/('Calcoli Grafici'!C51-'Calcoli Grafici'!D51)*12)</f>
        <v>31.234028837998295</v>
      </c>
    </row>
    <row r="52" spans="2:5" x14ac:dyDescent="0.25">
      <c r="B52" s="197">
        <f t="shared" si="2"/>
        <v>9.9999999999999992E-2</v>
      </c>
      <c r="C52" s="197">
        <f>B52*front!$G$17/(front!$G$34/100)*'Calcoli Grafici'!$G$46</f>
        <v>272.72727272727269</v>
      </c>
      <c r="D52" s="197">
        <f>B52*front!$G$17/(front!$K$34/100)*'Calcoli Grafici'!$G$46</f>
        <v>218.51289833080423</v>
      </c>
      <c r="E52" s="198">
        <f>IF(front!$G$25&lt;&gt;0,(front!$H$54-front!$H$56)/('Calcoli Grafici'!C52-'Calcoli Grafici'!D52)/30,(front!$H$54-front!$H$56)/('Calcoli Grafici'!C52-'Calcoli Grafici'!D52)*12)</f>
        <v>28.110625954198483</v>
      </c>
    </row>
    <row r="53" spans="2:5" x14ac:dyDescent="0.25">
      <c r="B53" s="197">
        <f t="shared" si="2"/>
        <v>0.10999999999999999</v>
      </c>
      <c r="C53" s="197">
        <f>B53*front!$G$17/(front!$G$34/100)*'Calcoli Grafici'!$G$46</f>
        <v>299.99999999999994</v>
      </c>
      <c r="D53" s="197">
        <f>B53*front!$G$17/(front!$K$34/100)*'Calcoli Grafici'!$G$46</f>
        <v>240.36418816388465</v>
      </c>
      <c r="E53" s="198">
        <f>IF(front!$G$25&lt;&gt;0,(front!$H$54-front!$H$56)/('Calcoli Grafici'!C53-'Calcoli Grafici'!D53)/30,(front!$H$54-front!$H$56)/('Calcoli Grafici'!C53-'Calcoli Grafici'!D53)*12)</f>
        <v>25.555114503816803</v>
      </c>
    </row>
    <row r="54" spans="2:5" x14ac:dyDescent="0.25">
      <c r="B54" s="197">
        <f t="shared" si="2"/>
        <v>0.11999999999999998</v>
      </c>
      <c r="C54" s="197">
        <f>B54*front!$G$17/(front!$G$34/100)*'Calcoli Grafici'!$G$46</f>
        <v>327.27272727272714</v>
      </c>
      <c r="D54" s="197">
        <f>B54*front!$G$17/(front!$K$34/100)*'Calcoli Grafici'!$G$46</f>
        <v>262.21547799696503</v>
      </c>
      <c r="E54" s="198">
        <f>IF(front!$G$25&lt;&gt;0,(front!$H$54-front!$H$56)/('Calcoli Grafici'!C54-'Calcoli Grafici'!D54)/30,(front!$H$54-front!$H$56)/('Calcoli Grafici'!C54-'Calcoli Grafici'!D54)*12)</f>
        <v>23.425521628498753</v>
      </c>
    </row>
    <row r="55" spans="2:5" x14ac:dyDescent="0.25">
      <c r="B55" s="197">
        <f t="shared" si="2"/>
        <v>0.12999999999999998</v>
      </c>
      <c r="C55" s="197">
        <f>B55*front!$G$17/(front!$G$34/100)*'Calcoli Grafici'!$G$46</f>
        <v>354.54545454545445</v>
      </c>
      <c r="D55" s="197">
        <f>B55*front!$G$17/(front!$K$34/100)*'Calcoli Grafici'!$G$46</f>
        <v>284.06676783004542</v>
      </c>
      <c r="E55" s="198">
        <f>IF(front!$G$25&lt;&gt;0,(front!$H$54-front!$H$56)/('Calcoli Grafici'!C55-'Calcoli Grafici'!D55)/30,(front!$H$54-front!$H$56)/('Calcoli Grafici'!C55-'Calcoli Grafici'!D55)*12)</f>
        <v>21.623558426306516</v>
      </c>
    </row>
    <row r="56" spans="2:5" x14ac:dyDescent="0.25">
      <c r="B56" s="197">
        <f t="shared" si="2"/>
        <v>0.13999999999999999</v>
      </c>
      <c r="C56" s="197">
        <f>B56*front!$G$17/(front!$G$34/100)*'Calcoli Grafici'!$G$46</f>
        <v>381.8181818181817</v>
      </c>
      <c r="D56" s="197">
        <f>B56*front!$G$17/(front!$K$34/100)*'Calcoli Grafici'!$G$46</f>
        <v>305.91805766312592</v>
      </c>
      <c r="E56" s="198">
        <f>IF(front!$G$25&lt;&gt;0,(front!$H$54-front!$H$56)/('Calcoli Grafici'!C56-'Calcoli Grafici'!D56)/30,(front!$H$54-front!$H$56)/('Calcoli Grafici'!C56-'Calcoli Grafici'!D56)*12)</f>
        <v>20.079018538713221</v>
      </c>
    </row>
    <row r="57" spans="2:5" x14ac:dyDescent="0.25">
      <c r="B57" s="197">
        <f t="shared" si="2"/>
        <v>0.15</v>
      </c>
      <c r="C57" s="197">
        <f>B57*front!$G$17/(front!$G$34/100)*'Calcoli Grafici'!$G$46</f>
        <v>409.09090909090907</v>
      </c>
      <c r="D57" s="197">
        <f>B57*front!$G$17/(front!$K$34/100)*'Calcoli Grafici'!$G$46</f>
        <v>327.76934749620636</v>
      </c>
      <c r="E57" s="198">
        <f>IF(front!$G$25&lt;&gt;0,(front!$H$54-front!$H$56)/('Calcoli Grafici'!C57-'Calcoli Grafici'!D57)/30,(front!$H$54-front!$H$56)/('Calcoli Grafici'!C57-'Calcoli Grafici'!D57)*12)</f>
        <v>18.740417302798988</v>
      </c>
    </row>
    <row r="58" spans="2:5" x14ac:dyDescent="0.25">
      <c r="B58" s="197">
        <f t="shared" si="2"/>
        <v>0.16</v>
      </c>
      <c r="C58" s="197">
        <f>B58*front!$G$17/(front!$G$34/100)*'Calcoli Grafici'!$G$46</f>
        <v>436.36363636363632</v>
      </c>
      <c r="D58" s="197">
        <f>B58*front!$G$17/(front!$K$34/100)*'Calcoli Grafici'!$G$46</f>
        <v>349.62063732928675</v>
      </c>
      <c r="E58" s="198">
        <f>IF(front!$G$25&lt;&gt;0,(front!$H$54-front!$H$56)/('Calcoli Grafici'!C58-'Calcoli Grafici'!D58)/30,(front!$H$54-front!$H$56)/('Calcoli Grafici'!C58-'Calcoli Grafici'!D58)*12)</f>
        <v>17.569141221374046</v>
      </c>
    </row>
    <row r="59" spans="2:5" x14ac:dyDescent="0.25">
      <c r="B59" s="197">
        <f t="shared" si="2"/>
        <v>0.17</v>
      </c>
      <c r="C59" s="197">
        <f>B59*front!$G$17/(front!$G$34/100)*'Calcoli Grafici'!$G$46</f>
        <v>463.63636363636363</v>
      </c>
      <c r="D59" s="197">
        <f>B59*front!$G$17/(front!$K$34/100)*'Calcoli Grafici'!$G$46</f>
        <v>371.47192716236719</v>
      </c>
      <c r="E59" s="198">
        <f>IF(front!$G$25&lt;&gt;0,(front!$H$54-front!$H$56)/('Calcoli Grafici'!C59-'Calcoli Grafici'!D59)/30,(front!$H$54-front!$H$56)/('Calcoli Grafici'!C59-'Calcoli Grafici'!D59)*12)</f>
        <v>16.535662325999098</v>
      </c>
    </row>
    <row r="60" spans="2:5" x14ac:dyDescent="0.25">
      <c r="B60" s="197">
        <f t="shared" si="2"/>
        <v>0.18000000000000002</v>
      </c>
      <c r="C60" s="197">
        <f>B60*front!$G$17/(front!$G$34/100)*'Calcoli Grafici'!$G$46</f>
        <v>490.90909090909093</v>
      </c>
      <c r="D60" s="197">
        <f>B60*front!$G$17/(front!$K$34/100)*'Calcoli Grafici'!$G$46</f>
        <v>393.32321699544769</v>
      </c>
      <c r="E60" s="198">
        <f>IF(front!$G$25&lt;&gt;0,(front!$H$54-front!$H$56)/('Calcoli Grafici'!C60-'Calcoli Grafici'!D60)/30,(front!$H$54-front!$H$56)/('Calcoli Grafici'!C60-'Calcoli Grafici'!D60)*12)</f>
        <v>15.617014418999155</v>
      </c>
    </row>
    <row r="61" spans="2:5" x14ac:dyDescent="0.25">
      <c r="B61" s="197">
        <f t="shared" si="2"/>
        <v>0.19000000000000003</v>
      </c>
      <c r="C61" s="197">
        <f>B61*front!$G$17/(front!$G$34/100)*'Calcoli Grafici'!$G$46</f>
        <v>518.18181818181824</v>
      </c>
      <c r="D61" s="197">
        <f>B61*front!$G$17/(front!$K$34/100)*'Calcoli Grafici'!$G$46</f>
        <v>415.17450682852808</v>
      </c>
      <c r="E61" s="198">
        <f>IF(front!$G$25&lt;&gt;0,(front!$H$54-front!$H$56)/('Calcoli Grafici'!C61-'Calcoli Grafici'!D61)/30,(front!$H$54-front!$H$56)/('Calcoli Grafici'!C61-'Calcoli Grafici'!D61)*12)</f>
        <v>14.795066291683398</v>
      </c>
    </row>
    <row r="62" spans="2:5" x14ac:dyDescent="0.25">
      <c r="B62" s="197">
        <f t="shared" si="2"/>
        <v>0.20000000000000004</v>
      </c>
      <c r="C62" s="197">
        <f>B62*front!$G$17/(front!$G$34/100)*'Calcoli Grafici'!$G$46</f>
        <v>545.4545454545455</v>
      </c>
      <c r="D62" s="197">
        <f>B62*front!$G$17/(front!$K$34/100)*'Calcoli Grafici'!$G$46</f>
        <v>437.02579666160852</v>
      </c>
      <c r="E62" s="198">
        <f>IF(front!$G$25&lt;&gt;0,(front!$H$54-front!$H$56)/('Calcoli Grafici'!C62-'Calcoli Grafici'!D62)/30,(front!$H$54-front!$H$56)/('Calcoli Grafici'!C62-'Calcoli Grafici'!D62)*12)</f>
        <v>14.055312977099236</v>
      </c>
    </row>
    <row r="63" spans="2:5" x14ac:dyDescent="0.25">
      <c r="B63" s="197">
        <f t="shared" si="2"/>
        <v>0.21000000000000005</v>
      </c>
      <c r="C63" s="197">
        <f>B63*front!$G$17/(front!$G$34/100)*'Calcoli Grafici'!$G$46</f>
        <v>572.72727272727286</v>
      </c>
      <c r="D63" s="197">
        <f>B63*front!$G$17/(front!$K$34/100)*'Calcoli Grafici'!$G$46</f>
        <v>458.87708649468902</v>
      </c>
      <c r="E63" s="198">
        <f>IF(front!$G$25&lt;&gt;0,(front!$H$54-front!$H$56)/('Calcoli Grafici'!C63-'Calcoli Grafici'!D63)/30,(front!$H$54-front!$H$56)/('Calcoli Grafici'!C63-'Calcoli Grafici'!D63)*12)</f>
        <v>13.386012359142129</v>
      </c>
    </row>
    <row r="64" spans="2:5" x14ac:dyDescent="0.25">
      <c r="B64" s="197">
        <f t="shared" si="2"/>
        <v>0.22000000000000006</v>
      </c>
      <c r="C64" s="197">
        <f>B64*front!$G$17/(front!$G$34/100)*'Calcoli Grafici'!$G$46</f>
        <v>600.00000000000011</v>
      </c>
      <c r="D64" s="197">
        <f>B64*front!$G$17/(front!$K$34/100)*'Calcoli Grafici'!$G$46</f>
        <v>480.72837632776941</v>
      </c>
      <c r="E64" s="198">
        <f>IF(front!$G$25&lt;&gt;0,(front!$H$54-front!$H$56)/('Calcoli Grafici'!C64-'Calcoli Grafici'!D64)/30,(front!$H$54-front!$H$56)/('Calcoli Grafici'!C64-'Calcoli Grafici'!D64)*12)</f>
        <v>12.777557251908391</v>
      </c>
    </row>
    <row r="65" spans="2:5" x14ac:dyDescent="0.25">
      <c r="B65" s="197">
        <f>B64+0.01</f>
        <v>0.23000000000000007</v>
      </c>
      <c r="C65" s="197">
        <f>B65*front!$G$17/(front!$G$34/100)*'Calcoli Grafici'!$G$46</f>
        <v>627.27272727272748</v>
      </c>
      <c r="D65" s="197">
        <f>B65*front!$G$17/(front!$K$34/100)*'Calcoli Grafici'!$G$46</f>
        <v>502.57966616084991</v>
      </c>
      <c r="E65" s="198">
        <f>IF(front!$G$25&lt;&gt;0,(front!$H$54-front!$H$56)/('Calcoli Grafici'!C65-'Calcoli Grafici'!D65)/30,(front!$H$54-front!$H$56)/('Calcoli Grafici'!C65-'Calcoli Grafici'!D65)*12)</f>
        <v>12.222011284434112</v>
      </c>
    </row>
    <row r="66" spans="2:5" x14ac:dyDescent="0.25">
      <c r="B66" s="197">
        <f t="shared" si="2"/>
        <v>0.24000000000000007</v>
      </c>
      <c r="C66" s="197">
        <f>B66*front!$G$17/(front!$G$34/100)*'Calcoli Grafici'!$G$46</f>
        <v>654.54545454545462</v>
      </c>
      <c r="D66" s="197">
        <f>B66*front!$G$17/(front!$K$34/100)*'Calcoli Grafici'!$G$46</f>
        <v>524.4309559939303</v>
      </c>
      <c r="E66" s="198">
        <f>IF(front!$G$25&lt;&gt;0,(front!$H$54-front!$H$56)/('Calcoli Grafici'!C66-'Calcoli Grafici'!D66)/30,(front!$H$54-front!$H$56)/('Calcoli Grafici'!C66-'Calcoli Grafici'!D66)*12)</f>
        <v>11.712760814249366</v>
      </c>
    </row>
    <row r="67" spans="2:5" x14ac:dyDescent="0.25">
      <c r="B67" s="197">
        <f t="shared" si="2"/>
        <v>0.25000000000000006</v>
      </c>
      <c r="C67" s="197">
        <f>B67*front!$G$17/(front!$G$34/100)*'Calcoli Grafici'!$G$46</f>
        <v>681.81818181818187</v>
      </c>
      <c r="D67" s="197">
        <f>B67*front!$G$17/(front!$K$34/100)*'Calcoli Grafici'!$G$46</f>
        <v>546.28224582701068</v>
      </c>
      <c r="E67" s="198">
        <f>IF(front!$G$25&lt;&gt;0,(front!$H$54-front!$H$56)/('Calcoli Grafici'!C67-'Calcoli Grafici'!D67)/30,(front!$H$54-front!$H$56)/('Calcoli Grafici'!C67-'Calcoli Grafici'!D67)*12)</f>
        <v>11.24425038167939</v>
      </c>
    </row>
  </sheetData>
  <sheetProtection algorithmName="SHA-512" hashValue="h20mIgxUJc+Uu3q7QZ1wCoDpKqh/eAJ0HTF8yGod2e0Q1SoaVLmHNXJrQooqgpC4vOmzB+RyLiGN2xvZpQd+Nw==" saltValue="ZydFvNP9rRdbFAVGfK7I8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V53"/>
  <sheetViews>
    <sheetView windowProtection="1" topLeftCell="A19" zoomScale="85" zoomScaleNormal="85" workbookViewId="0">
      <selection activeCell="L53" sqref="L53:N53"/>
    </sheetView>
  </sheetViews>
  <sheetFormatPr defaultColWidth="9.140625" defaultRowHeight="15" x14ac:dyDescent="0.25"/>
  <cols>
    <col min="1" max="16384" width="9.140625" style="82"/>
  </cols>
  <sheetData>
    <row r="4" spans="1:21" x14ac:dyDescent="0.25">
      <c r="B4" s="82" t="s">
        <v>28</v>
      </c>
      <c r="C4" s="82" t="s">
        <v>28</v>
      </c>
      <c r="D4" s="82" t="s">
        <v>28</v>
      </c>
      <c r="E4" s="82" t="s">
        <v>28</v>
      </c>
      <c r="F4" s="82" t="s">
        <v>19</v>
      </c>
      <c r="G4" s="82" t="s">
        <v>19</v>
      </c>
      <c r="H4" s="82" t="s">
        <v>19</v>
      </c>
      <c r="I4" s="82" t="s">
        <v>19</v>
      </c>
      <c r="J4" s="82" t="s">
        <v>75</v>
      </c>
      <c r="K4" s="82" t="s">
        <v>75</v>
      </c>
      <c r="L4" s="82" t="s">
        <v>75</v>
      </c>
      <c r="M4" s="82" t="s">
        <v>75</v>
      </c>
      <c r="N4" s="82" t="s">
        <v>93</v>
      </c>
      <c r="O4" s="82" t="s">
        <v>93</v>
      </c>
      <c r="P4" s="82" t="s">
        <v>93</v>
      </c>
      <c r="Q4" s="82" t="s">
        <v>93</v>
      </c>
    </row>
    <row r="5" spans="1:21" x14ac:dyDescent="0.25">
      <c r="A5" s="82" t="s">
        <v>94</v>
      </c>
      <c r="B5" s="82">
        <v>2</v>
      </c>
      <c r="C5" s="82">
        <v>4</v>
      </c>
      <c r="D5" s="82">
        <v>6</v>
      </c>
      <c r="E5" s="82">
        <v>8</v>
      </c>
      <c r="F5" s="82">
        <v>2</v>
      </c>
      <c r="G5" s="82">
        <v>4</v>
      </c>
      <c r="H5" s="82">
        <v>6</v>
      </c>
      <c r="I5" s="82">
        <v>8</v>
      </c>
      <c r="J5" s="82">
        <v>2</v>
      </c>
      <c r="K5" s="82">
        <v>4</v>
      </c>
      <c r="L5" s="82">
        <v>6</v>
      </c>
      <c r="M5" s="82">
        <v>8</v>
      </c>
      <c r="N5" s="82">
        <v>2</v>
      </c>
      <c r="O5" s="82">
        <v>4</v>
      </c>
      <c r="P5" s="82">
        <v>6</v>
      </c>
      <c r="Q5" s="82">
        <v>8</v>
      </c>
      <c r="S5" s="82">
        <v>2</v>
      </c>
      <c r="U5" s="82" t="s">
        <v>28</v>
      </c>
    </row>
    <row r="6" spans="1:21" x14ac:dyDescent="0.25">
      <c r="A6" s="82">
        <v>0.12</v>
      </c>
      <c r="B6" s="82">
        <v>45</v>
      </c>
      <c r="C6" s="82">
        <v>50</v>
      </c>
      <c r="D6" s="82">
        <v>38.299999999999997</v>
      </c>
      <c r="E6" s="82">
        <v>31</v>
      </c>
      <c r="F6" s="82">
        <v>53.6</v>
      </c>
      <c r="G6" s="82">
        <v>59.1</v>
      </c>
      <c r="H6" s="82">
        <v>50.6</v>
      </c>
      <c r="I6" s="82">
        <v>39.799999999999997</v>
      </c>
      <c r="J6" s="82">
        <v>60.8</v>
      </c>
      <c r="K6" s="82">
        <v>64.8</v>
      </c>
      <c r="L6" s="82">
        <v>57.7</v>
      </c>
      <c r="M6" s="82">
        <v>50.7</v>
      </c>
      <c r="N6" s="82">
        <v>66.5</v>
      </c>
      <c r="O6" s="82">
        <v>69.8</v>
      </c>
      <c r="P6" s="82">
        <v>64.900000000000006</v>
      </c>
      <c r="Q6" s="82">
        <v>62.3</v>
      </c>
      <c r="S6" s="82">
        <v>4</v>
      </c>
      <c r="U6" s="82" t="s">
        <v>19</v>
      </c>
    </row>
    <row r="7" spans="1:21" x14ac:dyDescent="0.25">
      <c r="A7" s="82">
        <v>0.18</v>
      </c>
      <c r="B7" s="82">
        <v>52.8</v>
      </c>
      <c r="C7" s="82">
        <v>57</v>
      </c>
      <c r="D7" s="82">
        <v>45.5</v>
      </c>
      <c r="E7" s="82">
        <v>38</v>
      </c>
      <c r="F7" s="82">
        <v>60.4</v>
      </c>
      <c r="G7" s="82">
        <v>64.7</v>
      </c>
      <c r="H7" s="82">
        <v>56.6</v>
      </c>
      <c r="I7" s="82">
        <v>45.9</v>
      </c>
      <c r="J7" s="82">
        <v>65.900000000000006</v>
      </c>
      <c r="K7" s="82">
        <v>69.900000000000006</v>
      </c>
      <c r="L7" s="82">
        <v>63.9</v>
      </c>
      <c r="M7" s="82">
        <v>58.7</v>
      </c>
      <c r="N7" s="82">
        <v>70.8</v>
      </c>
      <c r="O7" s="82">
        <v>74.7</v>
      </c>
      <c r="P7" s="82">
        <v>70.099999999999994</v>
      </c>
      <c r="Q7" s="82">
        <v>67.2</v>
      </c>
      <c r="S7" s="82">
        <v>6</v>
      </c>
      <c r="U7" s="82" t="s">
        <v>75</v>
      </c>
    </row>
    <row r="8" spans="1:21" x14ac:dyDescent="0.25">
      <c r="A8" s="82">
        <v>0.25</v>
      </c>
      <c r="B8" s="82">
        <v>58.2</v>
      </c>
      <c r="C8" s="82">
        <v>61.5</v>
      </c>
      <c r="D8" s="82">
        <v>52.1</v>
      </c>
      <c r="E8" s="82">
        <v>43.4</v>
      </c>
      <c r="F8" s="82">
        <v>64.8</v>
      </c>
      <c r="G8" s="82">
        <v>68.5</v>
      </c>
      <c r="H8" s="82">
        <v>61.6</v>
      </c>
      <c r="I8" s="82">
        <v>50.6</v>
      </c>
      <c r="J8" s="82">
        <v>69.7</v>
      </c>
      <c r="K8" s="82">
        <v>73.5</v>
      </c>
      <c r="L8" s="82">
        <v>68.599999999999994</v>
      </c>
      <c r="M8" s="82">
        <v>64.099999999999994</v>
      </c>
      <c r="N8" s="82">
        <v>74.3</v>
      </c>
      <c r="O8" s="82">
        <v>77.900000000000006</v>
      </c>
      <c r="P8" s="82">
        <v>74.099999999999994</v>
      </c>
      <c r="Q8" s="82">
        <v>70.8</v>
      </c>
      <c r="S8" s="82">
        <v>8</v>
      </c>
      <c r="U8" s="82" t="s">
        <v>93</v>
      </c>
    </row>
    <row r="9" spans="1:21" x14ac:dyDescent="0.25">
      <c r="A9" s="82">
        <v>0.37</v>
      </c>
      <c r="B9" s="82">
        <v>63.9</v>
      </c>
      <c r="C9" s="82">
        <v>66</v>
      </c>
      <c r="D9" s="82">
        <v>59.7</v>
      </c>
      <c r="E9" s="82">
        <v>49.7</v>
      </c>
      <c r="F9" s="82">
        <v>69.5</v>
      </c>
      <c r="G9" s="82">
        <v>72.7</v>
      </c>
      <c r="H9" s="82">
        <v>67.599999999999994</v>
      </c>
      <c r="I9" s="82">
        <v>56.1</v>
      </c>
      <c r="J9" s="82">
        <v>73.8</v>
      </c>
      <c r="K9" s="82">
        <v>77.3</v>
      </c>
      <c r="L9" s="82">
        <v>73.5</v>
      </c>
      <c r="M9" s="82">
        <v>69.3</v>
      </c>
      <c r="N9" s="82">
        <v>78.099999999999994</v>
      </c>
      <c r="O9" s="82">
        <v>81.099999999999994</v>
      </c>
      <c r="P9" s="82">
        <v>78</v>
      </c>
      <c r="Q9" s="82">
        <v>74.3</v>
      </c>
    </row>
    <row r="10" spans="1:21" x14ac:dyDescent="0.25">
      <c r="A10" s="82">
        <v>0.55000000000000004</v>
      </c>
      <c r="B10" s="82">
        <v>69</v>
      </c>
      <c r="C10" s="82">
        <v>70</v>
      </c>
      <c r="D10" s="82">
        <v>65.8</v>
      </c>
      <c r="E10" s="82">
        <v>56.1</v>
      </c>
      <c r="F10" s="82">
        <v>74.099999999999994</v>
      </c>
      <c r="G10" s="82">
        <v>77.099999999999994</v>
      </c>
      <c r="H10" s="82">
        <v>73.099999999999994</v>
      </c>
      <c r="I10" s="82">
        <v>61.7</v>
      </c>
      <c r="J10" s="82">
        <v>77.8</v>
      </c>
      <c r="K10" s="82">
        <v>80.8</v>
      </c>
      <c r="L10" s="82">
        <v>77.2</v>
      </c>
      <c r="M10" s="82">
        <v>73</v>
      </c>
      <c r="N10" s="82">
        <v>81.5</v>
      </c>
      <c r="O10" s="82">
        <v>83.9</v>
      </c>
      <c r="P10" s="82">
        <v>80.900000000000006</v>
      </c>
      <c r="Q10" s="82">
        <v>77</v>
      </c>
    </row>
    <row r="11" spans="1:21" x14ac:dyDescent="0.25">
      <c r="A11" s="82">
        <v>0.75</v>
      </c>
      <c r="B11" s="82">
        <v>72.099999999999994</v>
      </c>
      <c r="C11" s="82">
        <v>72.099999999999994</v>
      </c>
      <c r="D11" s="82">
        <v>70</v>
      </c>
      <c r="E11" s="82">
        <v>61.2</v>
      </c>
      <c r="F11" s="82">
        <v>77.400000000000006</v>
      </c>
      <c r="G11" s="82">
        <v>79.599999999999994</v>
      </c>
      <c r="H11" s="82">
        <v>75.900000000000006</v>
      </c>
      <c r="I11" s="82">
        <v>66.2</v>
      </c>
      <c r="J11" s="82">
        <v>80.7</v>
      </c>
      <c r="K11" s="82">
        <v>82.5</v>
      </c>
      <c r="L11" s="82">
        <v>78.900000000000006</v>
      </c>
      <c r="M11" s="82">
        <v>75</v>
      </c>
      <c r="N11" s="82">
        <v>83.5</v>
      </c>
      <c r="O11" s="82">
        <v>85.7</v>
      </c>
      <c r="P11" s="82">
        <v>82.7</v>
      </c>
      <c r="Q11" s="82">
        <v>78.400000000000006</v>
      </c>
    </row>
    <row r="12" spans="1:21" x14ac:dyDescent="0.25">
      <c r="A12" s="82">
        <v>1.1000000000000001</v>
      </c>
      <c r="B12" s="82">
        <v>75</v>
      </c>
      <c r="C12" s="82">
        <v>75</v>
      </c>
      <c r="D12" s="82">
        <v>72.900000000000006</v>
      </c>
      <c r="E12" s="82">
        <v>66.5</v>
      </c>
      <c r="F12" s="82">
        <v>79.599999999999994</v>
      </c>
      <c r="G12" s="82">
        <v>81.400000000000006</v>
      </c>
      <c r="H12" s="82">
        <v>78.099999999999994</v>
      </c>
      <c r="I12" s="82">
        <v>70.8</v>
      </c>
      <c r="J12" s="82">
        <v>82.7</v>
      </c>
      <c r="K12" s="82">
        <v>84.1</v>
      </c>
      <c r="L12" s="82">
        <v>81</v>
      </c>
      <c r="M12" s="82">
        <v>77.7</v>
      </c>
      <c r="N12" s="82">
        <v>85.2</v>
      </c>
      <c r="O12" s="82">
        <v>87.2</v>
      </c>
      <c r="P12" s="82">
        <v>84.5</v>
      </c>
      <c r="Q12" s="82">
        <v>80.8</v>
      </c>
    </row>
    <row r="13" spans="1:21" x14ac:dyDescent="0.25">
      <c r="A13" s="82">
        <v>1.5</v>
      </c>
      <c r="B13" s="82">
        <v>77.2</v>
      </c>
      <c r="C13" s="82">
        <v>77.2</v>
      </c>
      <c r="D13" s="82">
        <v>75.2</v>
      </c>
      <c r="E13" s="82">
        <v>70.2</v>
      </c>
      <c r="F13" s="82">
        <v>81.3</v>
      </c>
      <c r="G13" s="82">
        <v>82.8</v>
      </c>
      <c r="H13" s="82">
        <v>79.8</v>
      </c>
      <c r="I13" s="82">
        <v>74.099999999999994</v>
      </c>
      <c r="J13" s="82">
        <v>84.2</v>
      </c>
      <c r="K13" s="82">
        <v>85.3</v>
      </c>
      <c r="L13" s="82">
        <v>82.5</v>
      </c>
      <c r="M13" s="82">
        <v>79.7</v>
      </c>
      <c r="N13" s="82">
        <v>86.5</v>
      </c>
      <c r="O13" s="82">
        <v>88.2</v>
      </c>
      <c r="P13" s="82">
        <v>85.9</v>
      </c>
      <c r="Q13" s="82">
        <v>82.6</v>
      </c>
    </row>
    <row r="14" spans="1:21" x14ac:dyDescent="0.25">
      <c r="A14" s="82">
        <v>2.2000000000000002</v>
      </c>
      <c r="B14" s="82">
        <v>79.7</v>
      </c>
      <c r="C14" s="82">
        <v>79.7</v>
      </c>
      <c r="D14" s="82">
        <v>77.7</v>
      </c>
      <c r="E14" s="82">
        <v>74.2</v>
      </c>
      <c r="F14" s="82">
        <v>83.2</v>
      </c>
      <c r="G14" s="82">
        <v>84.3</v>
      </c>
      <c r="H14" s="82">
        <v>81.8</v>
      </c>
      <c r="I14" s="82">
        <v>77.599999999999994</v>
      </c>
      <c r="J14" s="82">
        <v>85.9</v>
      </c>
      <c r="K14" s="82">
        <v>86.7</v>
      </c>
      <c r="L14" s="82">
        <v>84.3</v>
      </c>
      <c r="M14" s="82">
        <v>81.900000000000006</v>
      </c>
      <c r="N14" s="82">
        <v>88</v>
      </c>
      <c r="O14" s="82">
        <v>89.5</v>
      </c>
      <c r="P14" s="82">
        <v>87.4</v>
      </c>
      <c r="Q14" s="82">
        <v>84.5</v>
      </c>
    </row>
    <row r="15" spans="1:21" x14ac:dyDescent="0.25">
      <c r="A15" s="82">
        <v>3</v>
      </c>
      <c r="B15" s="82">
        <v>81.5</v>
      </c>
      <c r="C15" s="82">
        <v>81.5</v>
      </c>
      <c r="D15" s="82">
        <v>79.7</v>
      </c>
      <c r="E15" s="82">
        <v>77</v>
      </c>
      <c r="F15" s="82">
        <v>84.6</v>
      </c>
      <c r="G15" s="82">
        <v>85.5</v>
      </c>
      <c r="H15" s="82">
        <v>83.3</v>
      </c>
      <c r="I15" s="82">
        <v>80</v>
      </c>
      <c r="J15" s="82">
        <v>87.1</v>
      </c>
      <c r="K15" s="82">
        <v>87.7</v>
      </c>
      <c r="L15" s="82">
        <v>85.6</v>
      </c>
      <c r="M15" s="82">
        <v>83.5</v>
      </c>
      <c r="N15" s="82">
        <v>89.1</v>
      </c>
      <c r="O15" s="82">
        <v>90.4</v>
      </c>
      <c r="P15" s="82">
        <v>88.6</v>
      </c>
      <c r="Q15" s="82">
        <v>85.9</v>
      </c>
    </row>
    <row r="16" spans="1:21" x14ac:dyDescent="0.25">
      <c r="A16" s="82">
        <v>4</v>
      </c>
      <c r="B16" s="82">
        <v>83.1</v>
      </c>
      <c r="C16" s="82">
        <v>83.1</v>
      </c>
      <c r="D16" s="82">
        <v>81.400000000000006</v>
      </c>
      <c r="E16" s="82">
        <v>79.2</v>
      </c>
      <c r="F16" s="82">
        <v>85.8</v>
      </c>
      <c r="G16" s="82">
        <v>86.6</v>
      </c>
      <c r="H16" s="82">
        <v>84.6</v>
      </c>
      <c r="I16" s="82">
        <v>81.900000000000006</v>
      </c>
      <c r="J16" s="82">
        <v>88.1</v>
      </c>
      <c r="K16" s="82">
        <v>88.6</v>
      </c>
      <c r="L16" s="82">
        <v>86.8</v>
      </c>
      <c r="M16" s="82">
        <v>84.8</v>
      </c>
      <c r="N16" s="82">
        <v>90</v>
      </c>
      <c r="O16" s="82">
        <v>91.1</v>
      </c>
      <c r="P16" s="82">
        <v>89.5</v>
      </c>
      <c r="Q16" s="82">
        <v>87.1</v>
      </c>
    </row>
    <row r="17" spans="1:17" x14ac:dyDescent="0.25">
      <c r="A17" s="82">
        <v>5.5</v>
      </c>
      <c r="B17" s="82">
        <v>84.7</v>
      </c>
      <c r="C17" s="82">
        <v>84.7</v>
      </c>
      <c r="D17" s="82">
        <v>83.1</v>
      </c>
      <c r="E17" s="82">
        <v>81.400000000000006</v>
      </c>
      <c r="F17" s="82">
        <v>87</v>
      </c>
      <c r="G17" s="82">
        <v>87.7</v>
      </c>
      <c r="H17" s="82">
        <v>86</v>
      </c>
      <c r="I17" s="82">
        <v>83.8</v>
      </c>
      <c r="J17" s="82">
        <v>89.2</v>
      </c>
      <c r="K17" s="82">
        <v>89.6</v>
      </c>
      <c r="L17" s="82">
        <v>88</v>
      </c>
      <c r="M17" s="82">
        <v>86.2</v>
      </c>
      <c r="N17" s="82">
        <v>90.9</v>
      </c>
      <c r="O17" s="82">
        <v>91.9</v>
      </c>
      <c r="P17" s="82">
        <v>90.5</v>
      </c>
      <c r="Q17" s="82">
        <v>88.3</v>
      </c>
    </row>
    <row r="18" spans="1:17" x14ac:dyDescent="0.25">
      <c r="A18" s="82">
        <v>7.5</v>
      </c>
      <c r="B18" s="82">
        <v>86</v>
      </c>
      <c r="C18" s="82">
        <v>86</v>
      </c>
      <c r="D18" s="82">
        <v>84.7</v>
      </c>
      <c r="E18" s="82">
        <v>83.1</v>
      </c>
      <c r="F18" s="82">
        <v>88.1</v>
      </c>
      <c r="G18" s="82">
        <v>88.7</v>
      </c>
      <c r="H18" s="82">
        <v>87.2</v>
      </c>
      <c r="I18" s="82">
        <v>85.3</v>
      </c>
      <c r="J18" s="82">
        <v>90.1</v>
      </c>
      <c r="K18" s="82">
        <v>90.4</v>
      </c>
      <c r="L18" s="82">
        <v>89.1</v>
      </c>
      <c r="M18" s="82">
        <v>87.3</v>
      </c>
      <c r="N18" s="82">
        <v>91.7</v>
      </c>
      <c r="O18" s="82">
        <v>92.6</v>
      </c>
      <c r="P18" s="82">
        <v>91.3</v>
      </c>
      <c r="Q18" s="82">
        <v>89.3</v>
      </c>
    </row>
    <row r="19" spans="1:17" x14ac:dyDescent="0.25">
      <c r="A19" s="82">
        <v>11</v>
      </c>
      <c r="B19" s="82">
        <v>87.6</v>
      </c>
      <c r="C19" s="82">
        <v>87.6</v>
      </c>
      <c r="D19" s="82">
        <v>86.4</v>
      </c>
      <c r="E19" s="82">
        <v>85</v>
      </c>
      <c r="F19" s="82">
        <v>89.4</v>
      </c>
      <c r="G19" s="82">
        <v>89.8</v>
      </c>
      <c r="H19" s="82">
        <v>88.7</v>
      </c>
      <c r="I19" s="82">
        <v>86.9</v>
      </c>
      <c r="J19" s="82">
        <v>91.2</v>
      </c>
      <c r="K19" s="82">
        <v>91.4</v>
      </c>
      <c r="L19" s="82">
        <v>90.3</v>
      </c>
      <c r="M19" s="82">
        <v>88.6</v>
      </c>
      <c r="N19" s="82">
        <v>92.6</v>
      </c>
      <c r="O19" s="82">
        <v>93.3</v>
      </c>
      <c r="P19" s="82">
        <v>92.3</v>
      </c>
      <c r="Q19" s="82">
        <v>90.4</v>
      </c>
    </row>
    <row r="20" spans="1:17" x14ac:dyDescent="0.25">
      <c r="A20" s="82">
        <v>15</v>
      </c>
      <c r="B20" s="82">
        <v>88.7</v>
      </c>
      <c r="C20" s="82">
        <v>88.7</v>
      </c>
      <c r="D20" s="82">
        <v>87.7</v>
      </c>
      <c r="E20" s="82">
        <v>86.2</v>
      </c>
      <c r="F20" s="82">
        <v>90.3</v>
      </c>
      <c r="G20" s="82">
        <v>90.6</v>
      </c>
      <c r="H20" s="82">
        <v>89.7</v>
      </c>
      <c r="I20" s="82">
        <v>88</v>
      </c>
      <c r="J20" s="82">
        <v>91.9</v>
      </c>
      <c r="K20" s="82">
        <v>92.1</v>
      </c>
      <c r="L20" s="82">
        <v>91.2</v>
      </c>
      <c r="M20" s="82">
        <v>89.6</v>
      </c>
      <c r="N20" s="82">
        <v>93.3</v>
      </c>
      <c r="O20" s="82">
        <v>93.9</v>
      </c>
      <c r="P20" s="82">
        <v>92.9</v>
      </c>
      <c r="Q20" s="82">
        <v>91.2</v>
      </c>
    </row>
    <row r="21" spans="1:17" x14ac:dyDescent="0.25">
      <c r="A21" s="82">
        <v>18.5</v>
      </c>
      <c r="B21" s="82">
        <v>89.3</v>
      </c>
      <c r="C21" s="82">
        <v>89.3</v>
      </c>
      <c r="D21" s="82">
        <v>88.6</v>
      </c>
      <c r="E21" s="82">
        <v>86.9</v>
      </c>
      <c r="F21" s="82">
        <v>90.9</v>
      </c>
      <c r="G21" s="82">
        <v>91.2</v>
      </c>
      <c r="H21" s="82">
        <v>90.4</v>
      </c>
      <c r="I21" s="82">
        <v>88.6</v>
      </c>
      <c r="J21" s="82">
        <v>92.4</v>
      </c>
      <c r="K21" s="82">
        <v>92.6</v>
      </c>
      <c r="L21" s="82">
        <v>91.7</v>
      </c>
      <c r="M21" s="82">
        <v>90.1</v>
      </c>
      <c r="N21" s="82">
        <v>93.7</v>
      </c>
      <c r="O21" s="82">
        <v>94.2</v>
      </c>
      <c r="P21" s="82">
        <v>93.4</v>
      </c>
      <c r="Q21" s="82">
        <v>91.7</v>
      </c>
    </row>
    <row r="22" spans="1:17" x14ac:dyDescent="0.25">
      <c r="A22" s="82">
        <v>22</v>
      </c>
      <c r="B22" s="82">
        <v>89.9</v>
      </c>
      <c r="C22" s="82">
        <v>89.9</v>
      </c>
      <c r="D22" s="82">
        <v>89.2</v>
      </c>
      <c r="E22" s="82">
        <v>87.4</v>
      </c>
      <c r="F22" s="82">
        <v>91.3</v>
      </c>
      <c r="G22" s="82">
        <v>91.6</v>
      </c>
      <c r="H22" s="82">
        <v>90.9</v>
      </c>
      <c r="I22" s="82">
        <v>89.1</v>
      </c>
      <c r="J22" s="82">
        <v>92.7</v>
      </c>
      <c r="K22" s="82">
        <v>93</v>
      </c>
      <c r="L22" s="82">
        <v>92.2</v>
      </c>
      <c r="M22" s="82">
        <v>90.6</v>
      </c>
      <c r="N22" s="82">
        <v>94</v>
      </c>
      <c r="O22" s="82">
        <v>94.5</v>
      </c>
      <c r="P22" s="82">
        <v>93.7</v>
      </c>
      <c r="Q22" s="82">
        <v>92.1</v>
      </c>
    </row>
    <row r="23" spans="1:17" x14ac:dyDescent="0.25">
      <c r="A23" s="82">
        <v>30</v>
      </c>
      <c r="B23" s="82">
        <v>90.7</v>
      </c>
      <c r="C23" s="82">
        <v>90.7</v>
      </c>
      <c r="D23" s="82">
        <v>90.2</v>
      </c>
      <c r="E23" s="82">
        <v>88.3</v>
      </c>
      <c r="F23" s="82">
        <v>92</v>
      </c>
      <c r="G23" s="82">
        <v>92.3</v>
      </c>
      <c r="H23" s="82">
        <v>91.7</v>
      </c>
      <c r="I23" s="82">
        <v>89.8</v>
      </c>
      <c r="J23" s="82">
        <v>93.3</v>
      </c>
      <c r="K23" s="82">
        <v>93.6</v>
      </c>
      <c r="L23" s="82">
        <v>92.9</v>
      </c>
      <c r="M23" s="82">
        <v>91.3</v>
      </c>
      <c r="N23" s="82">
        <v>94.5</v>
      </c>
      <c r="O23" s="82">
        <v>94.9</v>
      </c>
      <c r="P23" s="82">
        <v>94.2</v>
      </c>
      <c r="Q23" s="82">
        <v>92.7</v>
      </c>
    </row>
    <row r="24" spans="1:17" x14ac:dyDescent="0.25">
      <c r="A24" s="82">
        <v>37</v>
      </c>
      <c r="B24" s="82">
        <v>91.2</v>
      </c>
      <c r="C24" s="82">
        <v>91.2</v>
      </c>
      <c r="D24" s="82">
        <v>90.8</v>
      </c>
      <c r="E24" s="82">
        <v>88.8</v>
      </c>
      <c r="F24" s="82">
        <v>92.5</v>
      </c>
      <c r="G24" s="82">
        <v>92.7</v>
      </c>
      <c r="H24" s="82">
        <v>92.2</v>
      </c>
      <c r="I24" s="82">
        <v>90.3</v>
      </c>
      <c r="J24" s="82">
        <v>93.7</v>
      </c>
      <c r="K24" s="82">
        <v>93.9</v>
      </c>
      <c r="L24" s="82">
        <v>93.3</v>
      </c>
      <c r="M24" s="82">
        <v>91.8</v>
      </c>
      <c r="N24" s="82">
        <v>94.8</v>
      </c>
      <c r="O24" s="82">
        <v>95.2</v>
      </c>
      <c r="P24" s="82">
        <v>94.5</v>
      </c>
      <c r="Q24" s="82">
        <v>93.1</v>
      </c>
    </row>
    <row r="25" spans="1:17" x14ac:dyDescent="0.25">
      <c r="A25" s="82">
        <v>45</v>
      </c>
      <c r="B25" s="82">
        <v>91.7</v>
      </c>
      <c r="C25" s="82">
        <v>91.7</v>
      </c>
      <c r="D25" s="82">
        <v>91.4</v>
      </c>
      <c r="E25" s="82">
        <v>89.2</v>
      </c>
      <c r="F25" s="82">
        <v>92.9</v>
      </c>
      <c r="G25" s="82">
        <v>93.1</v>
      </c>
      <c r="H25" s="82">
        <v>92.7</v>
      </c>
      <c r="I25" s="82">
        <v>90.7</v>
      </c>
      <c r="J25" s="82">
        <v>94</v>
      </c>
      <c r="K25" s="82">
        <v>94.2</v>
      </c>
      <c r="L25" s="82">
        <v>93.7</v>
      </c>
      <c r="M25" s="82">
        <v>92.2</v>
      </c>
      <c r="N25" s="82">
        <v>95</v>
      </c>
      <c r="O25" s="82">
        <v>95.4</v>
      </c>
      <c r="P25" s="82">
        <v>94.8</v>
      </c>
      <c r="Q25" s="82">
        <v>93.4</v>
      </c>
    </row>
    <row r="26" spans="1:17" x14ac:dyDescent="0.25">
      <c r="A26" s="82">
        <v>55</v>
      </c>
      <c r="B26" s="82">
        <v>92.1</v>
      </c>
      <c r="C26" s="82">
        <v>92.1</v>
      </c>
      <c r="D26" s="82">
        <v>91.9</v>
      </c>
      <c r="E26" s="82">
        <v>89.7</v>
      </c>
      <c r="F26" s="82">
        <v>93.2</v>
      </c>
      <c r="G26" s="82">
        <v>93.5</v>
      </c>
      <c r="H26" s="82">
        <v>93.1</v>
      </c>
      <c r="I26" s="82">
        <v>91</v>
      </c>
      <c r="J26" s="82">
        <v>94.3</v>
      </c>
      <c r="K26" s="82">
        <v>94.6</v>
      </c>
      <c r="L26" s="82">
        <v>94.1</v>
      </c>
      <c r="M26" s="82">
        <v>92.5</v>
      </c>
      <c r="N26" s="82">
        <v>95.3</v>
      </c>
      <c r="O26" s="82">
        <v>95.7</v>
      </c>
      <c r="P26" s="82">
        <v>95.1</v>
      </c>
      <c r="Q26" s="82">
        <v>93.7</v>
      </c>
    </row>
    <row r="27" spans="1:17" x14ac:dyDescent="0.25">
      <c r="A27" s="82">
        <v>75</v>
      </c>
      <c r="B27" s="82">
        <v>92.7</v>
      </c>
      <c r="C27" s="82">
        <v>92.7</v>
      </c>
      <c r="D27" s="82">
        <v>92.6</v>
      </c>
      <c r="E27" s="82">
        <v>90.3</v>
      </c>
      <c r="F27" s="82">
        <v>93.8</v>
      </c>
      <c r="G27" s="82">
        <v>94</v>
      </c>
      <c r="H27" s="82">
        <v>93.7</v>
      </c>
      <c r="I27" s="82">
        <v>91.6</v>
      </c>
      <c r="J27" s="82">
        <v>94.7</v>
      </c>
      <c r="K27" s="82">
        <v>95</v>
      </c>
      <c r="L27" s="82">
        <v>94.6</v>
      </c>
      <c r="M27" s="82">
        <v>93.1</v>
      </c>
      <c r="N27" s="82">
        <v>95.6</v>
      </c>
      <c r="O27" s="82">
        <v>96</v>
      </c>
      <c r="P27" s="82">
        <v>95.4</v>
      </c>
      <c r="Q27" s="82">
        <v>94.2</v>
      </c>
    </row>
    <row r="28" spans="1:17" x14ac:dyDescent="0.25">
      <c r="A28" s="82">
        <v>90</v>
      </c>
      <c r="B28" s="82">
        <v>93</v>
      </c>
      <c r="C28" s="82">
        <v>93</v>
      </c>
      <c r="D28" s="82">
        <v>92.9</v>
      </c>
      <c r="E28" s="82">
        <v>90.7</v>
      </c>
      <c r="F28" s="82">
        <v>94.1</v>
      </c>
      <c r="G28" s="82">
        <v>94.2</v>
      </c>
      <c r="H28" s="82">
        <v>94</v>
      </c>
      <c r="I28" s="82">
        <v>91.9</v>
      </c>
      <c r="J28" s="82">
        <v>95</v>
      </c>
      <c r="K28" s="82">
        <v>95.2</v>
      </c>
      <c r="L28" s="82">
        <v>94.9</v>
      </c>
      <c r="M28" s="82">
        <v>93.4</v>
      </c>
      <c r="N28" s="82">
        <v>95.8</v>
      </c>
      <c r="O28" s="82">
        <v>96.1</v>
      </c>
      <c r="P28" s="82">
        <v>95.6</v>
      </c>
      <c r="Q28" s="82">
        <v>94.4</v>
      </c>
    </row>
    <row r="29" spans="1:17" x14ac:dyDescent="0.25">
      <c r="A29" s="82">
        <v>110</v>
      </c>
      <c r="B29" s="82">
        <v>93.3</v>
      </c>
      <c r="C29" s="82">
        <v>93.3</v>
      </c>
      <c r="D29" s="82">
        <v>93.3</v>
      </c>
      <c r="E29" s="82">
        <v>91.1</v>
      </c>
      <c r="F29" s="82">
        <v>94.3</v>
      </c>
      <c r="G29" s="82">
        <v>94.5</v>
      </c>
      <c r="H29" s="82">
        <v>94.3</v>
      </c>
      <c r="I29" s="82">
        <v>92.3</v>
      </c>
      <c r="J29" s="82">
        <v>95.2</v>
      </c>
      <c r="K29" s="82">
        <v>95.4</v>
      </c>
      <c r="L29" s="82">
        <v>95.1</v>
      </c>
      <c r="M29" s="82">
        <v>93.7</v>
      </c>
      <c r="N29" s="82">
        <v>96</v>
      </c>
      <c r="O29" s="82">
        <v>96.3</v>
      </c>
      <c r="P29" s="82">
        <v>95.8</v>
      </c>
      <c r="Q29" s="82">
        <v>94.7</v>
      </c>
    </row>
    <row r="30" spans="1:17" x14ac:dyDescent="0.25">
      <c r="A30" s="82">
        <v>132</v>
      </c>
      <c r="B30" s="82">
        <v>93.5</v>
      </c>
      <c r="C30" s="82">
        <v>93.5</v>
      </c>
      <c r="D30" s="82">
        <v>93.5</v>
      </c>
      <c r="E30" s="82">
        <v>91.5</v>
      </c>
      <c r="F30" s="82">
        <v>94.6</v>
      </c>
      <c r="G30" s="82">
        <v>94.7</v>
      </c>
      <c r="H30" s="82">
        <v>94.6</v>
      </c>
      <c r="I30" s="82">
        <v>92.6</v>
      </c>
      <c r="J30" s="82">
        <v>95.4</v>
      </c>
      <c r="K30" s="82">
        <v>95.6</v>
      </c>
      <c r="L30" s="82">
        <v>95.4</v>
      </c>
      <c r="M30" s="82">
        <v>94</v>
      </c>
      <c r="N30" s="82">
        <v>96.2</v>
      </c>
      <c r="O30" s="82">
        <v>96.4</v>
      </c>
      <c r="P30" s="82">
        <v>96</v>
      </c>
      <c r="Q30" s="82">
        <v>94.9</v>
      </c>
    </row>
    <row r="31" spans="1:17" x14ac:dyDescent="0.25">
      <c r="A31" s="82">
        <v>160</v>
      </c>
      <c r="B31" s="82">
        <v>93.8</v>
      </c>
      <c r="C31" s="82">
        <v>93.8</v>
      </c>
      <c r="D31" s="82">
        <v>93.8</v>
      </c>
      <c r="E31" s="82">
        <v>91.9</v>
      </c>
      <c r="F31" s="82">
        <v>94.8</v>
      </c>
      <c r="G31" s="82">
        <v>94.9</v>
      </c>
      <c r="H31" s="82">
        <v>94.8</v>
      </c>
      <c r="I31" s="82">
        <v>93</v>
      </c>
      <c r="J31" s="82">
        <v>95.6</v>
      </c>
      <c r="K31" s="82">
        <v>95.8</v>
      </c>
      <c r="L31" s="82">
        <v>95.6</v>
      </c>
      <c r="M31" s="82">
        <v>94.3</v>
      </c>
      <c r="N31" s="82">
        <v>96.3</v>
      </c>
      <c r="O31" s="82">
        <v>96.6</v>
      </c>
      <c r="P31" s="82">
        <v>96.2</v>
      </c>
      <c r="Q31" s="82">
        <v>95.1</v>
      </c>
    </row>
    <row r="32" spans="1:17" x14ac:dyDescent="0.25">
      <c r="A32" s="82">
        <v>200</v>
      </c>
      <c r="B32" s="82">
        <v>94</v>
      </c>
      <c r="C32" s="82">
        <v>94</v>
      </c>
      <c r="D32" s="82">
        <v>94</v>
      </c>
      <c r="E32" s="82">
        <v>92.5</v>
      </c>
      <c r="F32" s="82">
        <v>95</v>
      </c>
      <c r="G32" s="82">
        <v>95.1</v>
      </c>
      <c r="H32" s="82">
        <v>95</v>
      </c>
      <c r="I32" s="82">
        <v>93.5</v>
      </c>
      <c r="J32" s="82">
        <v>95.8</v>
      </c>
      <c r="K32" s="82">
        <v>96</v>
      </c>
      <c r="L32" s="82">
        <v>95.8</v>
      </c>
      <c r="M32" s="82">
        <v>94.6</v>
      </c>
      <c r="N32" s="82">
        <v>96.5</v>
      </c>
      <c r="O32" s="82">
        <v>96.7</v>
      </c>
      <c r="P32" s="82">
        <v>96.3</v>
      </c>
      <c r="Q32" s="82">
        <v>95.4</v>
      </c>
    </row>
    <row r="33" spans="1:22" x14ac:dyDescent="0.25">
      <c r="A33" s="82">
        <v>250</v>
      </c>
      <c r="B33" s="82">
        <v>94</v>
      </c>
      <c r="C33" s="82">
        <v>94</v>
      </c>
      <c r="D33" s="82">
        <v>94</v>
      </c>
      <c r="E33" s="82">
        <v>92.5</v>
      </c>
      <c r="F33" s="82">
        <v>95</v>
      </c>
      <c r="G33" s="82">
        <v>95.1</v>
      </c>
      <c r="H33" s="82">
        <v>95</v>
      </c>
      <c r="I33" s="82">
        <v>93.5</v>
      </c>
      <c r="J33" s="82">
        <v>95.8</v>
      </c>
      <c r="K33" s="82">
        <v>96</v>
      </c>
      <c r="L33" s="82">
        <v>95.8</v>
      </c>
      <c r="M33" s="82">
        <v>94.6</v>
      </c>
      <c r="N33" s="82">
        <v>96.5</v>
      </c>
      <c r="O33" s="82">
        <v>96.7</v>
      </c>
      <c r="P33" s="82">
        <v>96.5</v>
      </c>
      <c r="Q33" s="82">
        <v>95.4</v>
      </c>
    </row>
    <row r="34" spans="1:22" x14ac:dyDescent="0.25">
      <c r="A34" s="82">
        <v>315</v>
      </c>
      <c r="B34" s="82">
        <v>94</v>
      </c>
      <c r="C34" s="82">
        <v>94</v>
      </c>
      <c r="D34" s="82">
        <v>94</v>
      </c>
      <c r="F34" s="82">
        <v>95</v>
      </c>
      <c r="G34" s="82">
        <v>95.1</v>
      </c>
      <c r="H34" s="82">
        <v>95</v>
      </c>
      <c r="J34" s="82">
        <v>95.8</v>
      </c>
      <c r="K34" s="82">
        <v>96</v>
      </c>
      <c r="L34" s="82">
        <v>95.8</v>
      </c>
      <c r="N34" s="82">
        <v>96.5</v>
      </c>
      <c r="O34" s="82">
        <v>96.7</v>
      </c>
      <c r="P34" s="82">
        <v>96.6</v>
      </c>
    </row>
    <row r="35" spans="1:22" x14ac:dyDescent="0.25">
      <c r="A35" s="82">
        <v>355</v>
      </c>
      <c r="B35" s="82">
        <v>94</v>
      </c>
      <c r="C35" s="82">
        <v>94</v>
      </c>
      <c r="F35" s="82">
        <v>95</v>
      </c>
      <c r="G35" s="82">
        <v>95.1</v>
      </c>
      <c r="J35" s="82">
        <v>95.8</v>
      </c>
      <c r="K35" s="82">
        <v>96</v>
      </c>
      <c r="N35" s="82">
        <v>96.5</v>
      </c>
      <c r="O35" s="82">
        <v>96.7</v>
      </c>
    </row>
    <row r="36" spans="1:22" x14ac:dyDescent="0.25">
      <c r="A36" s="82">
        <v>375</v>
      </c>
      <c r="B36" s="82">
        <v>94</v>
      </c>
      <c r="C36" s="82">
        <v>94</v>
      </c>
      <c r="F36" s="82">
        <v>95</v>
      </c>
      <c r="G36" s="82">
        <v>95.1</v>
      </c>
      <c r="J36" s="82">
        <v>95.8</v>
      </c>
      <c r="K36" s="82">
        <v>96</v>
      </c>
      <c r="N36" s="82">
        <v>96.5</v>
      </c>
      <c r="O36" s="82">
        <v>96.7</v>
      </c>
    </row>
    <row r="38" spans="1:22" ht="15.75" thickBot="1" x14ac:dyDescent="0.3">
      <c r="C38" s="100"/>
      <c r="D38" s="101"/>
      <c r="E38" s="101"/>
      <c r="F38" s="101"/>
      <c r="G38" s="101"/>
      <c r="H38" s="101"/>
      <c r="I38" s="101"/>
      <c r="J38" s="102" t="str">
        <f>IF(AND(H39="",M39=""),"TO FILL ONE POWER BOX and CHOOSE POLE AND FREQUENCY","")</f>
        <v/>
      </c>
      <c r="K38" s="103"/>
      <c r="L38" s="101"/>
      <c r="M38" s="101"/>
      <c r="N38" s="104"/>
      <c r="O38" s="101"/>
      <c r="P38" s="105"/>
      <c r="R38" s="82">
        <f>IF(AND(H53="IE1",$H$41=2),1,IF(AND(H53="IE1",$H$41=4),2,IF(AND(H53="IE1",$H$41=6),3,IF(AND(H53="IE1",$H$41=8),4,IF(AND(H53="IE2",$H$41=2),5,IF(AND(H53="IE2",$H$41=4),6,IF(AND(H53="IE2",$H$41=6),7,IF(AND(H53="IE2",$H$41=8),8,IF(AND(H53="IE3",$H$41=2),9,IF(AND(H53="IE3",$H$41=4),10,IF(AND(H53="IE3",$H$41=6),11,IF(AND(H53="IE3",$H$41=8),12,IF(AND(H53="IE4",$H$41=2),13,IF(AND(H53="IE4",$H$41=4),14,IF(AND(H53="IE4",$H$41=6),15,IF(AND(H53="IE4",$H$41=8),16))))))))))))))))</f>
        <v>1</v>
      </c>
      <c r="V38" s="82">
        <f>IF(AND(L53="IE1",$H$41=2),1,IF(AND(L53="IE1",$H$41=4),2,IF(AND(L53="IE1",$H$41=6),3,IF(AND(L53="IE1",$H$41=8),4,IF(AND(L53="IE2",$H$41=2),5,IF(AND(L53="IE2",$H$41=4),6,IF(AND(L53="IE2",$H$41=6),7,IF(AND(L53="IE2",$H$41=8),8,IF(AND(L53="IE3",$H$41=2),9,IF(AND(L53="IE3",$H$41=4),10,IF(AND(L53="IE3",$H$41=6),11,IF(AND(L53="IE3",$H$41=8),12,IF(AND(L53="IE4",$H$41=2),13,IF(AND(L53="IE4",$H$41=4),14,IF(AND(L53="IE4",$H$41=6),15,IF(AND(L53="IE4",$H$41=8),16))))))))))))))))</f>
        <v>9</v>
      </c>
    </row>
    <row r="39" spans="1:22" ht="15.75" thickBot="1" x14ac:dyDescent="0.3">
      <c r="C39" s="106"/>
      <c r="D39" s="94" t="s">
        <v>74</v>
      </c>
      <c r="E39" s="94"/>
      <c r="F39" s="94"/>
      <c r="G39" s="94"/>
      <c r="H39" s="195">
        <f>front!G17</f>
        <v>0.18</v>
      </c>
      <c r="I39" s="107" t="s">
        <v>57</v>
      </c>
      <c r="J39" s="108"/>
      <c r="K39" s="94" t="s">
        <v>95</v>
      </c>
      <c r="L39" s="94"/>
      <c r="M39" s="94"/>
      <c r="N39" s="195" t="str">
        <f>front!M17</f>
        <v>IE1</v>
      </c>
      <c r="O39" s="109"/>
      <c r="P39" s="110"/>
    </row>
    <row r="40" spans="1:22" ht="15.75" thickBot="1" x14ac:dyDescent="0.3">
      <c r="C40" s="93"/>
      <c r="D40" s="94"/>
      <c r="E40" s="94"/>
      <c r="F40" s="94"/>
      <c r="G40" s="94"/>
      <c r="H40" s="95"/>
      <c r="I40" s="94"/>
      <c r="J40" s="94"/>
      <c r="K40" s="94"/>
      <c r="L40" s="94"/>
      <c r="M40" s="94"/>
      <c r="N40" s="94"/>
      <c r="O40" s="111"/>
      <c r="P40" s="112"/>
    </row>
    <row r="41" spans="1:22" ht="15.75" thickBot="1" x14ac:dyDescent="0.3">
      <c r="C41" s="113"/>
      <c r="D41" s="94" t="s">
        <v>55</v>
      </c>
      <c r="E41" s="94"/>
      <c r="F41" s="94"/>
      <c r="G41" s="94"/>
      <c r="H41" s="196">
        <f>front!G19</f>
        <v>2</v>
      </c>
      <c r="I41" s="94"/>
      <c r="J41" s="94"/>
      <c r="K41" s="94" t="s">
        <v>96</v>
      </c>
      <c r="L41" s="94"/>
      <c r="M41" s="94"/>
      <c r="N41" s="195" t="str">
        <f>front!M19</f>
        <v>IE3</v>
      </c>
      <c r="O41" s="111"/>
      <c r="P41" s="112"/>
    </row>
    <row r="42" spans="1:22" ht="15.75" thickBot="1" x14ac:dyDescent="0.3">
      <c r="C42" s="106"/>
      <c r="D42" s="94"/>
      <c r="E42" s="94"/>
      <c r="F42" s="94"/>
      <c r="G42" s="94"/>
      <c r="H42" s="95"/>
      <c r="I42" s="94"/>
      <c r="J42" s="94"/>
      <c r="K42" s="94"/>
      <c r="L42" s="94"/>
      <c r="M42" s="94"/>
      <c r="N42" s="94"/>
      <c r="O42" s="94"/>
      <c r="P42" s="99"/>
    </row>
    <row r="43" spans="1:22" ht="15.75" thickBot="1" x14ac:dyDescent="0.3">
      <c r="C43" s="93"/>
      <c r="D43" s="94" t="s">
        <v>56</v>
      </c>
      <c r="E43" s="94"/>
      <c r="F43" s="94"/>
      <c r="G43" s="94"/>
      <c r="H43" s="196">
        <f>front!G21</f>
        <v>50</v>
      </c>
      <c r="I43" s="94" t="s">
        <v>29</v>
      </c>
      <c r="J43" s="94"/>
      <c r="K43" s="97"/>
      <c r="L43" s="94"/>
      <c r="M43" s="94"/>
      <c r="N43" s="94"/>
      <c r="O43" s="94"/>
      <c r="P43" s="99"/>
    </row>
    <row r="44" spans="1:22" x14ac:dyDescent="0.25">
      <c r="C44" s="114"/>
      <c r="D44" s="115"/>
      <c r="E44" s="115"/>
      <c r="F44" s="115"/>
      <c r="G44" s="115"/>
      <c r="H44" s="116"/>
      <c r="I44" s="115"/>
      <c r="J44" s="115"/>
      <c r="K44" s="117"/>
      <c r="L44" s="115"/>
      <c r="M44" s="115"/>
      <c r="N44" s="118"/>
      <c r="O44" s="119"/>
      <c r="P44" s="120"/>
    </row>
    <row r="45" spans="1:22" ht="15.75" thickBot="1" x14ac:dyDescent="0.3">
      <c r="C45" s="106"/>
      <c r="D45" s="94"/>
      <c r="E45" s="94"/>
      <c r="F45" s="94"/>
      <c r="G45" s="94"/>
      <c r="H45" s="94"/>
      <c r="I45" s="94"/>
      <c r="J45" s="96" t="str">
        <f>IF(AND(H46="",H47=""),"TO FILL ONE USE BOX","")</f>
        <v/>
      </c>
      <c r="K45" s="94"/>
      <c r="L45" s="94"/>
      <c r="M45" s="94"/>
      <c r="N45" s="94"/>
      <c r="O45" s="94"/>
      <c r="P45" s="99"/>
    </row>
    <row r="46" spans="1:22" ht="15.75" thickBot="1" x14ac:dyDescent="0.3">
      <c r="C46" s="93"/>
      <c r="D46" s="94" t="s">
        <v>58</v>
      </c>
      <c r="E46" s="94"/>
      <c r="F46" s="94"/>
      <c r="G46" s="94"/>
      <c r="H46" s="196">
        <f>front!G25</f>
        <v>0</v>
      </c>
      <c r="I46" s="121" t="s">
        <v>6</v>
      </c>
      <c r="J46" s="94"/>
      <c r="K46" s="122" t="s">
        <v>68</v>
      </c>
      <c r="L46" s="94"/>
      <c r="M46" s="258">
        <f>front!L25</f>
        <v>8000</v>
      </c>
      <c r="N46" s="259"/>
      <c r="O46" s="121" t="s">
        <v>7</v>
      </c>
      <c r="P46" s="99"/>
    </row>
    <row r="47" spans="1:22" x14ac:dyDescent="0.25">
      <c r="C47" s="123"/>
      <c r="D47" s="97"/>
      <c r="E47" s="97"/>
      <c r="F47" s="97"/>
      <c r="G47" s="97"/>
      <c r="H47" s="94"/>
      <c r="I47" s="121"/>
      <c r="J47" s="124"/>
      <c r="K47" s="125"/>
      <c r="L47" s="126"/>
      <c r="M47" s="126"/>
      <c r="N47" s="94"/>
      <c r="O47" s="127"/>
      <c r="P47" s="128"/>
    </row>
    <row r="48" spans="1:22" ht="15.75" thickBot="1" x14ac:dyDescent="0.3">
      <c r="C48" s="129"/>
      <c r="D48" s="103"/>
      <c r="E48" s="103"/>
      <c r="F48" s="103"/>
      <c r="G48" s="103"/>
      <c r="H48" s="130"/>
      <c r="I48" s="131"/>
      <c r="J48" s="132" t="str">
        <f>IF(H49="","TO FILL  ENERGY COST","")</f>
        <v/>
      </c>
      <c r="K48" s="133"/>
      <c r="L48" s="103"/>
      <c r="M48" s="103"/>
      <c r="N48" s="101"/>
      <c r="O48" s="133"/>
      <c r="P48" s="134"/>
    </row>
    <row r="49" spans="3:16" ht="15.75" thickBot="1" x14ac:dyDescent="0.3">
      <c r="C49" s="123"/>
      <c r="D49" s="94" t="s">
        <v>2</v>
      </c>
      <c r="E49" s="97"/>
      <c r="F49" s="97"/>
      <c r="G49" s="97"/>
      <c r="H49" s="196">
        <f>front!G28</f>
        <v>0.15</v>
      </c>
      <c r="I49" s="135" t="s">
        <v>59</v>
      </c>
      <c r="J49" s="127"/>
      <c r="K49" s="125"/>
      <c r="L49" s="97"/>
      <c r="M49" s="97"/>
      <c r="N49" s="94"/>
      <c r="O49" s="125"/>
      <c r="P49" s="136"/>
    </row>
    <row r="50" spans="3:16" x14ac:dyDescent="0.25">
      <c r="C50" s="123"/>
      <c r="D50" s="97"/>
      <c r="E50" s="97"/>
      <c r="F50" s="97"/>
      <c r="G50" s="97"/>
      <c r="H50" s="137"/>
      <c r="I50" s="127"/>
      <c r="J50" s="127"/>
      <c r="K50" s="125"/>
      <c r="L50" s="97"/>
      <c r="M50" s="97"/>
      <c r="N50" s="94"/>
      <c r="O50" s="125"/>
      <c r="P50" s="136"/>
    </row>
    <row r="51" spans="3:16" x14ac:dyDescent="0.25">
      <c r="C51" s="203" t="s">
        <v>60</v>
      </c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5"/>
    </row>
    <row r="52" spans="3:16" x14ac:dyDescent="0.25">
      <c r="C52" s="123"/>
      <c r="D52" s="126"/>
      <c r="E52" s="126"/>
      <c r="F52" s="126"/>
      <c r="G52" s="126"/>
      <c r="H52" s="138"/>
      <c r="I52" s="139"/>
      <c r="J52" s="127"/>
      <c r="K52" s="125"/>
      <c r="L52" s="97"/>
      <c r="M52" s="97"/>
      <c r="N52" s="94"/>
      <c r="O52" s="125"/>
      <c r="P52" s="136"/>
    </row>
    <row r="53" spans="3:16" x14ac:dyDescent="0.25">
      <c r="C53" s="123"/>
      <c r="D53" s="97"/>
      <c r="E53" s="97"/>
      <c r="F53" s="97"/>
      <c r="G53" s="97"/>
      <c r="H53" s="224" t="str">
        <f>front!G32</f>
        <v>IE1</v>
      </c>
      <c r="I53" s="224"/>
      <c r="J53" s="224"/>
      <c r="K53" s="137"/>
      <c r="L53" s="225" t="str">
        <f>front!K32</f>
        <v>IE3</v>
      </c>
      <c r="M53" s="225"/>
      <c r="N53" s="225"/>
      <c r="O53" s="125"/>
      <c r="P53" s="136"/>
    </row>
  </sheetData>
  <sheetProtection algorithmName="SHA-512" hashValue="kz9XaxRlWlZF922OwRUfOyIFwLa1dKx5/rXreyIHCpjF+P/1/T3sSmsZEkHpwErPWCbB2A4p0uvsrXW898QOBQ==" saltValue="ttuUbE/dJBcEgnRw60fPfA==" spinCount="100000" sheet="1" objects="1" scenarios="1" selectLockedCells="1" selectUnlockedCells="1"/>
  <dataConsolidate/>
  <mergeCells count="4">
    <mergeCell ref="M46:N46"/>
    <mergeCell ref="C51:P51"/>
    <mergeCell ref="H53:J53"/>
    <mergeCell ref="L53:N53"/>
  </mergeCells>
  <dataValidations count="1">
    <dataValidation type="list" allowBlank="1" showInputMessage="1" showErrorMessage="1" sqref="U5:U13" xr:uid="{00000000-0002-0000-0300-000000000000}">
      <formula1>ENERGY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6:V55"/>
  <sheetViews>
    <sheetView windowProtection="1" topLeftCell="A31" workbookViewId="0">
      <selection activeCell="H55" sqref="H55:J55"/>
    </sheetView>
  </sheetViews>
  <sheetFormatPr defaultColWidth="9.140625" defaultRowHeight="15" x14ac:dyDescent="0.25"/>
  <cols>
    <col min="1" max="16384" width="9.140625" style="82"/>
  </cols>
  <sheetData>
    <row r="6" spans="3:19" x14ac:dyDescent="0.25">
      <c r="D6" s="82" t="s">
        <v>28</v>
      </c>
      <c r="E6" s="82" t="s">
        <v>28</v>
      </c>
      <c r="F6" s="82" t="s">
        <v>28</v>
      </c>
      <c r="G6" s="82" t="s">
        <v>28</v>
      </c>
      <c r="H6" s="82" t="s">
        <v>19</v>
      </c>
      <c r="I6" s="82" t="s">
        <v>19</v>
      </c>
      <c r="J6" s="82" t="s">
        <v>19</v>
      </c>
      <c r="K6" s="82" t="s">
        <v>19</v>
      </c>
      <c r="L6" s="82" t="s">
        <v>75</v>
      </c>
      <c r="M6" s="82" t="s">
        <v>75</v>
      </c>
      <c r="N6" s="82" t="s">
        <v>75</v>
      </c>
      <c r="O6" s="82" t="s">
        <v>75</v>
      </c>
      <c r="P6" s="82" t="s">
        <v>93</v>
      </c>
      <c r="Q6" s="82" t="s">
        <v>93</v>
      </c>
      <c r="R6" s="82" t="s">
        <v>93</v>
      </c>
      <c r="S6" s="82" t="s">
        <v>93</v>
      </c>
    </row>
    <row r="7" spans="3:19" x14ac:dyDescent="0.25">
      <c r="C7" s="82" t="s">
        <v>94</v>
      </c>
      <c r="D7" s="82">
        <v>2</v>
      </c>
      <c r="E7" s="82">
        <v>4</v>
      </c>
      <c r="F7" s="82">
        <v>6</v>
      </c>
      <c r="G7" s="82">
        <v>8</v>
      </c>
      <c r="H7" s="82">
        <v>2</v>
      </c>
      <c r="I7" s="82">
        <v>4</v>
      </c>
      <c r="J7" s="82">
        <v>6</v>
      </c>
      <c r="K7" s="82">
        <v>8</v>
      </c>
      <c r="L7" s="82">
        <v>2</v>
      </c>
      <c r="M7" s="82">
        <v>4</v>
      </c>
      <c r="N7" s="82">
        <v>6</v>
      </c>
      <c r="O7" s="82">
        <v>8</v>
      </c>
      <c r="P7" s="82">
        <v>2</v>
      </c>
      <c r="Q7" s="82">
        <v>4</v>
      </c>
      <c r="R7" s="82">
        <v>6</v>
      </c>
      <c r="S7" s="82">
        <v>8</v>
      </c>
    </row>
    <row r="8" spans="3:19" x14ac:dyDescent="0.25">
      <c r="C8" s="82">
        <v>0.12</v>
      </c>
      <c r="D8" s="82">
        <v>57.5</v>
      </c>
      <c r="E8" s="82">
        <v>62</v>
      </c>
      <c r="F8" s="82">
        <v>48</v>
      </c>
      <c r="G8" s="82">
        <v>36</v>
      </c>
      <c r="H8" s="82">
        <v>59.5</v>
      </c>
      <c r="I8" s="82">
        <v>64</v>
      </c>
      <c r="J8" s="82">
        <v>50.5</v>
      </c>
      <c r="K8" s="82">
        <v>40</v>
      </c>
      <c r="L8" s="82">
        <v>62</v>
      </c>
      <c r="M8" s="82">
        <v>66</v>
      </c>
      <c r="N8" s="82">
        <v>64</v>
      </c>
      <c r="O8" s="82">
        <v>59.5</v>
      </c>
      <c r="P8" s="82">
        <v>66</v>
      </c>
      <c r="Q8" s="82">
        <v>70</v>
      </c>
      <c r="R8" s="82">
        <v>68</v>
      </c>
      <c r="S8" s="82">
        <v>64</v>
      </c>
    </row>
    <row r="9" spans="3:19" x14ac:dyDescent="0.25">
      <c r="C9" s="82">
        <v>0.18</v>
      </c>
      <c r="D9" s="82">
        <v>62</v>
      </c>
      <c r="E9" s="82">
        <v>66</v>
      </c>
      <c r="F9" s="82">
        <v>52.5</v>
      </c>
      <c r="G9" s="82">
        <v>40</v>
      </c>
      <c r="H9" s="82">
        <v>64</v>
      </c>
      <c r="I9" s="82">
        <v>68</v>
      </c>
      <c r="J9" s="82">
        <v>55</v>
      </c>
      <c r="K9" s="82">
        <v>46</v>
      </c>
      <c r="L9" s="82">
        <v>65.599999999999994</v>
      </c>
      <c r="M9" s="82">
        <v>69.5</v>
      </c>
      <c r="N9" s="82">
        <v>67.5</v>
      </c>
      <c r="O9" s="82">
        <v>64</v>
      </c>
      <c r="P9" s="82">
        <v>70</v>
      </c>
      <c r="Q9" s="82">
        <v>74</v>
      </c>
      <c r="R9" s="82">
        <v>72</v>
      </c>
      <c r="S9" s="82">
        <v>68</v>
      </c>
    </row>
    <row r="10" spans="3:19" x14ac:dyDescent="0.25">
      <c r="C10" s="82">
        <v>0.25</v>
      </c>
      <c r="D10" s="82">
        <v>64</v>
      </c>
      <c r="E10" s="82">
        <v>68</v>
      </c>
      <c r="F10" s="82">
        <v>57.5</v>
      </c>
      <c r="G10" s="82">
        <v>50.5</v>
      </c>
      <c r="H10" s="82">
        <v>68</v>
      </c>
      <c r="I10" s="82">
        <v>70</v>
      </c>
      <c r="J10" s="82">
        <v>59.5</v>
      </c>
      <c r="K10" s="82">
        <v>52</v>
      </c>
      <c r="L10" s="82">
        <v>69.5</v>
      </c>
      <c r="M10" s="82">
        <v>73.400000000000006</v>
      </c>
      <c r="N10" s="82">
        <v>71.400000000000006</v>
      </c>
      <c r="O10" s="82">
        <v>68</v>
      </c>
      <c r="P10" s="82">
        <v>74</v>
      </c>
      <c r="Q10" s="82">
        <v>77</v>
      </c>
      <c r="R10" s="82">
        <v>75.5</v>
      </c>
      <c r="S10" s="82">
        <v>72</v>
      </c>
    </row>
    <row r="11" spans="3:19" x14ac:dyDescent="0.25">
      <c r="C11" s="82">
        <v>0.37</v>
      </c>
      <c r="D11" s="82">
        <v>70</v>
      </c>
      <c r="E11" s="82">
        <v>70</v>
      </c>
      <c r="F11" s="82">
        <v>62</v>
      </c>
      <c r="G11" s="82">
        <v>57.5</v>
      </c>
      <c r="H11" s="82">
        <v>72</v>
      </c>
      <c r="I11" s="82">
        <v>72</v>
      </c>
      <c r="J11" s="82">
        <v>64</v>
      </c>
      <c r="K11" s="82">
        <v>58</v>
      </c>
      <c r="L11" s="82">
        <v>73.400000000000006</v>
      </c>
      <c r="M11" s="82">
        <v>78.2</v>
      </c>
      <c r="N11" s="82">
        <v>75.3</v>
      </c>
      <c r="O11" s="82">
        <v>72</v>
      </c>
      <c r="P11" s="82">
        <v>77</v>
      </c>
      <c r="Q11" s="82">
        <v>81.5</v>
      </c>
      <c r="R11" s="82">
        <v>78.5</v>
      </c>
      <c r="S11" s="82">
        <v>75.5</v>
      </c>
    </row>
    <row r="12" spans="3:19" x14ac:dyDescent="0.25">
      <c r="C12" s="82">
        <v>0.55000000000000004</v>
      </c>
      <c r="D12" s="82">
        <v>72</v>
      </c>
      <c r="E12" s="82">
        <v>74</v>
      </c>
      <c r="F12" s="82">
        <v>66</v>
      </c>
      <c r="G12" s="82">
        <v>59.5</v>
      </c>
      <c r="H12" s="82">
        <v>74</v>
      </c>
      <c r="I12" s="82">
        <v>75.5</v>
      </c>
      <c r="J12" s="82">
        <v>68</v>
      </c>
      <c r="K12" s="82">
        <v>62</v>
      </c>
      <c r="L12" s="82">
        <v>76.8</v>
      </c>
      <c r="M12" s="82">
        <v>81.099999999999994</v>
      </c>
      <c r="N12" s="82">
        <v>81.7</v>
      </c>
      <c r="O12" s="82">
        <v>74</v>
      </c>
      <c r="P12" s="82">
        <v>80</v>
      </c>
      <c r="Q12" s="82">
        <v>84</v>
      </c>
      <c r="R12" s="82">
        <v>82.5</v>
      </c>
      <c r="S12" s="82">
        <v>77</v>
      </c>
    </row>
    <row r="13" spans="3:19" x14ac:dyDescent="0.25">
      <c r="C13" s="82">
        <v>0.75</v>
      </c>
      <c r="D13" s="82">
        <v>74</v>
      </c>
      <c r="E13" s="82">
        <v>77</v>
      </c>
      <c r="F13" s="82">
        <v>72</v>
      </c>
      <c r="G13" s="82">
        <v>64</v>
      </c>
      <c r="H13" s="82">
        <v>75.5</v>
      </c>
      <c r="I13" s="82">
        <v>78</v>
      </c>
      <c r="J13" s="82">
        <v>73</v>
      </c>
      <c r="K13" s="82">
        <v>66</v>
      </c>
      <c r="L13" s="82">
        <v>77</v>
      </c>
      <c r="M13" s="82">
        <v>83.5</v>
      </c>
      <c r="N13" s="82">
        <v>82.5</v>
      </c>
      <c r="O13" s="82">
        <v>75.5</v>
      </c>
      <c r="P13" s="82">
        <v>82.5</v>
      </c>
      <c r="Q13" s="82">
        <v>85.5</v>
      </c>
      <c r="R13" s="82">
        <v>84</v>
      </c>
      <c r="S13" s="82">
        <v>78.5</v>
      </c>
    </row>
    <row r="14" spans="3:19" x14ac:dyDescent="0.25">
      <c r="C14" s="82">
        <v>1.1000000000000001</v>
      </c>
      <c r="D14" s="82">
        <v>78.5</v>
      </c>
      <c r="E14" s="82">
        <v>79</v>
      </c>
      <c r="F14" s="82">
        <v>75</v>
      </c>
      <c r="G14" s="82">
        <v>73.5</v>
      </c>
      <c r="H14" s="82">
        <v>82.5</v>
      </c>
      <c r="I14" s="82">
        <v>84</v>
      </c>
      <c r="J14" s="82">
        <v>85.5</v>
      </c>
      <c r="K14" s="82">
        <v>75.5</v>
      </c>
      <c r="L14" s="82">
        <v>84</v>
      </c>
      <c r="M14" s="82">
        <v>86.5</v>
      </c>
      <c r="N14" s="82">
        <v>87.5</v>
      </c>
      <c r="O14" s="82">
        <v>78.5</v>
      </c>
      <c r="P14" s="82">
        <v>85.5</v>
      </c>
      <c r="Q14" s="82">
        <v>87.5</v>
      </c>
      <c r="R14" s="82">
        <v>88.5</v>
      </c>
      <c r="S14" s="82">
        <v>81.5</v>
      </c>
    </row>
    <row r="15" spans="3:19" x14ac:dyDescent="0.25">
      <c r="C15" s="82">
        <v>1.5</v>
      </c>
      <c r="D15" s="82">
        <v>81</v>
      </c>
      <c r="E15" s="82">
        <v>81.5</v>
      </c>
      <c r="F15" s="82">
        <v>77</v>
      </c>
      <c r="G15" s="82">
        <v>77</v>
      </c>
      <c r="H15" s="82">
        <v>84</v>
      </c>
      <c r="I15" s="82">
        <v>84</v>
      </c>
      <c r="J15" s="82">
        <v>86.5</v>
      </c>
      <c r="K15" s="82">
        <v>82.5</v>
      </c>
      <c r="L15" s="82">
        <v>85.5</v>
      </c>
      <c r="M15" s="82">
        <v>86.5</v>
      </c>
      <c r="N15" s="82">
        <v>88.5</v>
      </c>
      <c r="O15" s="82">
        <v>84</v>
      </c>
      <c r="P15" s="82">
        <v>86.5</v>
      </c>
      <c r="Q15" s="82">
        <v>88.5</v>
      </c>
      <c r="R15" s="82">
        <v>89.5</v>
      </c>
      <c r="S15" s="82">
        <v>85.5</v>
      </c>
    </row>
    <row r="16" spans="3:19" x14ac:dyDescent="0.25">
      <c r="C16" s="82">
        <v>2.2000000000000002</v>
      </c>
      <c r="D16" s="82">
        <v>81.5</v>
      </c>
      <c r="E16" s="82">
        <v>83</v>
      </c>
      <c r="F16" s="82">
        <v>78.5</v>
      </c>
      <c r="G16" s="82">
        <v>78</v>
      </c>
      <c r="H16" s="82">
        <v>85.5</v>
      </c>
      <c r="I16" s="82">
        <v>87.5</v>
      </c>
      <c r="J16" s="82">
        <v>87.5</v>
      </c>
      <c r="K16" s="82">
        <v>84</v>
      </c>
      <c r="L16" s="82">
        <v>86.5</v>
      </c>
      <c r="M16" s="82">
        <v>89.5</v>
      </c>
      <c r="N16" s="82">
        <v>89.5</v>
      </c>
      <c r="O16" s="82">
        <v>85.5</v>
      </c>
      <c r="P16" s="82">
        <v>88.5</v>
      </c>
      <c r="Q16" s="82">
        <v>91</v>
      </c>
      <c r="R16" s="82">
        <v>90.2</v>
      </c>
      <c r="S16" s="82">
        <v>87.5</v>
      </c>
    </row>
    <row r="17" spans="3:19" x14ac:dyDescent="0.25">
      <c r="C17" s="82">
        <v>3.7</v>
      </c>
      <c r="D17" s="82">
        <v>84.5</v>
      </c>
      <c r="E17" s="82">
        <v>85</v>
      </c>
      <c r="F17" s="82">
        <v>83.5</v>
      </c>
      <c r="G17" s="82">
        <v>80</v>
      </c>
      <c r="H17" s="82">
        <v>87.5</v>
      </c>
      <c r="I17" s="82">
        <v>87.5</v>
      </c>
      <c r="J17" s="82">
        <v>87.5</v>
      </c>
      <c r="K17" s="82">
        <v>85.5</v>
      </c>
      <c r="L17" s="82">
        <v>88.5</v>
      </c>
      <c r="M17" s="82">
        <v>89.5</v>
      </c>
      <c r="N17" s="82">
        <v>89.5</v>
      </c>
      <c r="O17" s="82">
        <v>86.5</v>
      </c>
      <c r="P17" s="82">
        <v>89.5</v>
      </c>
      <c r="Q17" s="82">
        <v>91</v>
      </c>
      <c r="R17" s="82">
        <v>90.2</v>
      </c>
      <c r="S17" s="82">
        <v>88.5</v>
      </c>
    </row>
    <row r="18" spans="3:19" x14ac:dyDescent="0.25">
      <c r="C18" s="82">
        <v>5.5</v>
      </c>
      <c r="D18" s="82">
        <v>86</v>
      </c>
      <c r="E18" s="82">
        <v>87</v>
      </c>
      <c r="F18" s="82">
        <v>85</v>
      </c>
      <c r="G18" s="82">
        <v>84</v>
      </c>
      <c r="H18" s="82">
        <v>88.5</v>
      </c>
      <c r="I18" s="82">
        <v>89.5</v>
      </c>
      <c r="J18" s="82">
        <v>89.5</v>
      </c>
      <c r="K18" s="82">
        <v>85.5</v>
      </c>
      <c r="L18" s="82">
        <v>89.5</v>
      </c>
      <c r="M18" s="82">
        <v>91.7</v>
      </c>
      <c r="N18" s="82">
        <v>91</v>
      </c>
      <c r="O18" s="82">
        <v>86.5</v>
      </c>
      <c r="P18" s="82">
        <v>90.2</v>
      </c>
      <c r="Q18" s="82">
        <v>92.4</v>
      </c>
      <c r="R18" s="82">
        <v>91.7</v>
      </c>
      <c r="S18" s="82">
        <v>88.5</v>
      </c>
    </row>
    <row r="19" spans="3:19" x14ac:dyDescent="0.25">
      <c r="C19" s="82">
        <v>7.5</v>
      </c>
      <c r="D19" s="82">
        <v>87.5</v>
      </c>
      <c r="E19" s="82">
        <v>87.5</v>
      </c>
      <c r="F19" s="82">
        <v>86</v>
      </c>
      <c r="G19" s="82">
        <v>85</v>
      </c>
      <c r="H19" s="82">
        <v>89.5</v>
      </c>
      <c r="I19" s="82">
        <v>89.5</v>
      </c>
      <c r="J19" s="82">
        <v>89.5</v>
      </c>
      <c r="K19" s="82">
        <v>88.5</v>
      </c>
      <c r="L19" s="82">
        <v>90.2</v>
      </c>
      <c r="M19" s="82">
        <v>91.7</v>
      </c>
      <c r="N19" s="82">
        <v>91</v>
      </c>
      <c r="O19" s="82">
        <v>89.5</v>
      </c>
      <c r="P19" s="82">
        <v>91.7</v>
      </c>
      <c r="Q19" s="82">
        <v>92.4</v>
      </c>
      <c r="R19" s="82">
        <v>92.4</v>
      </c>
      <c r="S19" s="82">
        <v>91</v>
      </c>
    </row>
    <row r="20" spans="3:19" x14ac:dyDescent="0.25">
      <c r="C20" s="82">
        <v>11</v>
      </c>
      <c r="D20" s="82">
        <v>87.5</v>
      </c>
      <c r="E20" s="82">
        <v>88.5</v>
      </c>
      <c r="F20" s="82">
        <v>89</v>
      </c>
      <c r="G20" s="82">
        <v>87.5</v>
      </c>
      <c r="H20" s="82">
        <v>90.2</v>
      </c>
      <c r="I20" s="82">
        <v>91</v>
      </c>
      <c r="J20" s="82">
        <v>90.2</v>
      </c>
      <c r="K20" s="82">
        <v>88.5</v>
      </c>
      <c r="L20" s="82">
        <v>91</v>
      </c>
      <c r="M20" s="82">
        <v>92.4</v>
      </c>
      <c r="N20" s="82">
        <v>91.7</v>
      </c>
      <c r="O20" s="82">
        <v>89.5</v>
      </c>
      <c r="P20" s="82">
        <v>92.4</v>
      </c>
      <c r="Q20" s="82">
        <v>93.6</v>
      </c>
      <c r="R20" s="82">
        <v>93</v>
      </c>
      <c r="S20" s="82">
        <v>91</v>
      </c>
    </row>
    <row r="21" spans="3:19" x14ac:dyDescent="0.25">
      <c r="C21" s="82">
        <v>15</v>
      </c>
      <c r="D21" s="82">
        <v>88.5</v>
      </c>
      <c r="E21" s="82">
        <v>89.5</v>
      </c>
      <c r="F21" s="82">
        <v>89.5</v>
      </c>
      <c r="G21" s="82">
        <v>88.5</v>
      </c>
      <c r="H21" s="82">
        <v>90.2</v>
      </c>
      <c r="I21" s="82">
        <v>91</v>
      </c>
      <c r="J21" s="82">
        <v>90.2</v>
      </c>
      <c r="K21" s="82">
        <v>89.5</v>
      </c>
      <c r="L21" s="82">
        <v>91</v>
      </c>
      <c r="M21" s="82">
        <v>93</v>
      </c>
      <c r="N21" s="82">
        <v>91.7</v>
      </c>
      <c r="O21" s="82">
        <v>90.2</v>
      </c>
      <c r="P21" s="82">
        <v>92.4</v>
      </c>
      <c r="Q21" s="82">
        <v>94.1</v>
      </c>
      <c r="R21" s="82">
        <v>93</v>
      </c>
      <c r="S21" s="82">
        <v>91.7</v>
      </c>
    </row>
    <row r="22" spans="3:19" x14ac:dyDescent="0.25">
      <c r="C22" s="82">
        <v>18.5</v>
      </c>
      <c r="D22" s="82">
        <v>89.5</v>
      </c>
      <c r="E22" s="82">
        <v>90.5</v>
      </c>
      <c r="F22" s="82">
        <v>90.2</v>
      </c>
      <c r="G22" s="82">
        <v>88.5</v>
      </c>
      <c r="H22" s="82">
        <v>91</v>
      </c>
      <c r="I22" s="82">
        <v>92.4</v>
      </c>
      <c r="J22" s="82">
        <v>91.7</v>
      </c>
      <c r="K22" s="82">
        <v>89.5</v>
      </c>
      <c r="L22" s="82">
        <v>91.7</v>
      </c>
      <c r="M22" s="82">
        <v>93.6</v>
      </c>
      <c r="N22" s="82">
        <v>93</v>
      </c>
      <c r="O22" s="82">
        <v>90.2</v>
      </c>
      <c r="P22" s="82">
        <v>93</v>
      </c>
      <c r="Q22" s="82">
        <v>94.5</v>
      </c>
      <c r="R22" s="82">
        <v>94.1</v>
      </c>
      <c r="S22" s="82">
        <v>91.7</v>
      </c>
    </row>
    <row r="23" spans="3:19" x14ac:dyDescent="0.25">
      <c r="C23" s="82">
        <v>22</v>
      </c>
      <c r="D23" s="82">
        <v>89.5</v>
      </c>
      <c r="E23" s="82">
        <v>91</v>
      </c>
      <c r="F23" s="82">
        <v>91</v>
      </c>
      <c r="G23" s="82">
        <v>90.2</v>
      </c>
      <c r="H23" s="82">
        <v>91</v>
      </c>
      <c r="I23" s="82">
        <v>92.4</v>
      </c>
      <c r="J23" s="82">
        <v>91.7</v>
      </c>
      <c r="K23" s="82">
        <v>91</v>
      </c>
      <c r="L23" s="82">
        <v>91.7</v>
      </c>
      <c r="M23" s="82">
        <v>93.6</v>
      </c>
      <c r="N23" s="82">
        <v>93</v>
      </c>
      <c r="O23" s="82">
        <v>91.7</v>
      </c>
      <c r="P23" s="82">
        <v>93</v>
      </c>
      <c r="Q23" s="82">
        <v>94.5</v>
      </c>
      <c r="R23" s="82">
        <v>94.1</v>
      </c>
      <c r="S23" s="82">
        <v>93</v>
      </c>
    </row>
    <row r="24" spans="3:19" x14ac:dyDescent="0.25">
      <c r="C24" s="82">
        <v>30</v>
      </c>
      <c r="D24" s="82">
        <v>90.2</v>
      </c>
      <c r="E24" s="82">
        <v>91.7</v>
      </c>
      <c r="F24" s="82">
        <v>91.7</v>
      </c>
      <c r="G24" s="82">
        <v>90.2</v>
      </c>
      <c r="H24" s="82">
        <v>91.7</v>
      </c>
      <c r="I24" s="82">
        <v>93</v>
      </c>
      <c r="J24" s="82">
        <v>93</v>
      </c>
      <c r="K24" s="82">
        <v>91</v>
      </c>
      <c r="L24" s="82">
        <v>92.4</v>
      </c>
      <c r="M24" s="82">
        <v>94.1</v>
      </c>
      <c r="N24" s="82">
        <v>94.1</v>
      </c>
      <c r="O24" s="82">
        <v>91.7</v>
      </c>
      <c r="P24" s="82">
        <v>93.6</v>
      </c>
      <c r="Q24" s="82">
        <v>95</v>
      </c>
      <c r="R24" s="82">
        <v>95</v>
      </c>
      <c r="S24" s="82">
        <v>93</v>
      </c>
    </row>
    <row r="25" spans="3:19" x14ac:dyDescent="0.25">
      <c r="C25" s="82">
        <v>37</v>
      </c>
      <c r="D25" s="82">
        <v>91.5</v>
      </c>
      <c r="E25" s="82">
        <v>92.4</v>
      </c>
      <c r="F25" s="82">
        <v>91.7</v>
      </c>
      <c r="G25" s="82">
        <v>91</v>
      </c>
      <c r="H25" s="82">
        <v>92.4</v>
      </c>
      <c r="I25" s="82">
        <v>93</v>
      </c>
      <c r="J25" s="82">
        <v>93</v>
      </c>
      <c r="K25" s="82">
        <v>91.7</v>
      </c>
      <c r="L25" s="82">
        <v>93</v>
      </c>
      <c r="M25" s="82">
        <v>94.5</v>
      </c>
      <c r="N25" s="82">
        <v>94.1</v>
      </c>
      <c r="O25" s="82">
        <v>92.4</v>
      </c>
      <c r="P25" s="82">
        <v>94.1</v>
      </c>
      <c r="Q25" s="82">
        <v>95.4</v>
      </c>
      <c r="R25" s="82">
        <v>95</v>
      </c>
      <c r="S25" s="82">
        <v>93.6</v>
      </c>
    </row>
    <row r="26" spans="3:19" x14ac:dyDescent="0.25">
      <c r="C26" s="82">
        <v>45</v>
      </c>
      <c r="D26" s="82">
        <v>91.7</v>
      </c>
      <c r="E26" s="82">
        <v>93</v>
      </c>
      <c r="F26" s="82">
        <v>91.7</v>
      </c>
      <c r="G26" s="82">
        <v>91</v>
      </c>
      <c r="H26" s="82">
        <v>93</v>
      </c>
      <c r="I26" s="82">
        <v>93.6</v>
      </c>
      <c r="J26" s="82">
        <v>93.6</v>
      </c>
      <c r="K26" s="82">
        <v>91.7</v>
      </c>
      <c r="L26" s="82">
        <v>93.6</v>
      </c>
      <c r="M26" s="82">
        <v>95</v>
      </c>
      <c r="N26" s="82">
        <v>94.5</v>
      </c>
      <c r="O26" s="82">
        <v>92.4</v>
      </c>
      <c r="P26" s="82">
        <v>94.5</v>
      </c>
      <c r="Q26" s="82">
        <v>95.4</v>
      </c>
      <c r="R26" s="82">
        <v>95.4</v>
      </c>
      <c r="S26" s="82">
        <v>93.6</v>
      </c>
    </row>
    <row r="27" spans="3:19" x14ac:dyDescent="0.25">
      <c r="C27" s="82">
        <v>55</v>
      </c>
      <c r="D27" s="82">
        <v>92.4</v>
      </c>
      <c r="E27" s="82">
        <v>93</v>
      </c>
      <c r="F27" s="82">
        <v>92.1</v>
      </c>
      <c r="G27" s="82">
        <v>91.5</v>
      </c>
      <c r="H27" s="82">
        <v>93</v>
      </c>
      <c r="I27" s="82">
        <v>94.1</v>
      </c>
      <c r="J27" s="82">
        <v>93.6</v>
      </c>
      <c r="K27" s="82">
        <v>93</v>
      </c>
      <c r="L27" s="82">
        <v>93.6</v>
      </c>
      <c r="M27" s="82">
        <v>95.4</v>
      </c>
      <c r="N27" s="82">
        <v>94.5</v>
      </c>
      <c r="O27" s="82">
        <v>93.6</v>
      </c>
      <c r="P27" s="82">
        <v>94.5</v>
      </c>
      <c r="Q27" s="82">
        <v>95.8</v>
      </c>
      <c r="R27" s="82">
        <v>95.4</v>
      </c>
      <c r="S27" s="82">
        <v>94.5</v>
      </c>
    </row>
    <row r="28" spans="3:19" x14ac:dyDescent="0.25">
      <c r="C28" s="82">
        <v>75</v>
      </c>
      <c r="D28" s="82">
        <v>93</v>
      </c>
      <c r="E28" s="82">
        <v>93.2</v>
      </c>
      <c r="F28" s="82">
        <v>93</v>
      </c>
      <c r="G28" s="82">
        <v>92</v>
      </c>
      <c r="H28" s="82">
        <v>93.6</v>
      </c>
      <c r="I28" s="82">
        <v>94.5</v>
      </c>
      <c r="J28" s="82">
        <v>94.1</v>
      </c>
      <c r="K28" s="82">
        <v>93</v>
      </c>
      <c r="L28" s="82">
        <v>94.1</v>
      </c>
      <c r="M28" s="82">
        <v>95.4</v>
      </c>
      <c r="N28" s="82">
        <v>95</v>
      </c>
      <c r="O28" s="82">
        <v>93.6</v>
      </c>
      <c r="P28" s="82">
        <v>95</v>
      </c>
      <c r="Q28" s="82">
        <v>96.2</v>
      </c>
      <c r="R28" s="82">
        <v>95.8</v>
      </c>
      <c r="S28" s="82">
        <v>94.5</v>
      </c>
    </row>
    <row r="29" spans="3:19" x14ac:dyDescent="0.25">
      <c r="C29" s="82">
        <v>90</v>
      </c>
      <c r="D29" s="82">
        <v>93</v>
      </c>
      <c r="E29" s="82">
        <v>93.2</v>
      </c>
      <c r="F29" s="82">
        <v>93</v>
      </c>
      <c r="G29" s="82">
        <v>92.5</v>
      </c>
      <c r="H29" s="82">
        <v>94.5</v>
      </c>
      <c r="I29" s="82">
        <v>94.5</v>
      </c>
      <c r="J29" s="82">
        <v>94.1</v>
      </c>
      <c r="K29" s="82">
        <v>93.6</v>
      </c>
      <c r="L29" s="82">
        <v>95</v>
      </c>
      <c r="M29" s="82">
        <v>95.4</v>
      </c>
      <c r="N29" s="82">
        <v>95</v>
      </c>
      <c r="O29" s="82">
        <v>94.1</v>
      </c>
      <c r="P29" s="82">
        <v>95.4</v>
      </c>
      <c r="Q29" s="82">
        <v>96.2</v>
      </c>
      <c r="R29" s="82">
        <v>95.8</v>
      </c>
      <c r="S29" s="82">
        <v>95</v>
      </c>
    </row>
    <row r="30" spans="3:19" x14ac:dyDescent="0.25">
      <c r="C30" s="82">
        <v>110</v>
      </c>
      <c r="D30" s="82">
        <v>93</v>
      </c>
      <c r="E30" s="82">
        <v>93.5</v>
      </c>
      <c r="F30" s="82">
        <v>94.1</v>
      </c>
      <c r="G30" s="82">
        <v>92.5</v>
      </c>
      <c r="H30" s="82">
        <v>94.5</v>
      </c>
      <c r="I30" s="82">
        <v>95</v>
      </c>
      <c r="J30" s="82">
        <v>95</v>
      </c>
      <c r="K30" s="82">
        <v>93.6</v>
      </c>
      <c r="L30" s="82">
        <v>95</v>
      </c>
      <c r="M30" s="82">
        <v>95.8</v>
      </c>
      <c r="N30" s="82">
        <v>95.8</v>
      </c>
      <c r="O30" s="82">
        <v>94.1</v>
      </c>
      <c r="P30" s="82">
        <v>95.4</v>
      </c>
      <c r="Q30" s="82">
        <v>96.2</v>
      </c>
      <c r="R30" s="82">
        <v>96.2</v>
      </c>
      <c r="S30" s="82">
        <v>95</v>
      </c>
    </row>
    <row r="31" spans="3:19" x14ac:dyDescent="0.25">
      <c r="C31" s="82">
        <v>150</v>
      </c>
      <c r="D31" s="82">
        <v>94.1</v>
      </c>
      <c r="E31" s="82">
        <v>94.5</v>
      </c>
      <c r="F31" s="82">
        <v>94.1</v>
      </c>
      <c r="G31" s="82">
        <v>92.5</v>
      </c>
      <c r="H31" s="82">
        <v>95</v>
      </c>
      <c r="I31" s="82">
        <v>95</v>
      </c>
      <c r="J31" s="82">
        <v>95</v>
      </c>
      <c r="K31" s="82">
        <v>93.6</v>
      </c>
      <c r="L31" s="82">
        <v>95.4</v>
      </c>
      <c r="M31" s="82">
        <v>96.2</v>
      </c>
      <c r="N31" s="82">
        <v>95.8</v>
      </c>
      <c r="O31" s="82">
        <v>94.5</v>
      </c>
      <c r="P31" s="82">
        <v>95.8</v>
      </c>
      <c r="Q31" s="82">
        <v>96.5</v>
      </c>
      <c r="R31" s="82">
        <v>96.2</v>
      </c>
      <c r="S31" s="82">
        <v>95.4</v>
      </c>
    </row>
    <row r="32" spans="3:19" x14ac:dyDescent="0.25">
      <c r="C32" s="82">
        <v>185</v>
      </c>
      <c r="D32" s="82">
        <v>94.1</v>
      </c>
      <c r="E32" s="82">
        <v>94.5</v>
      </c>
      <c r="F32" s="82">
        <v>94.1</v>
      </c>
      <c r="G32" s="82">
        <v>92.5</v>
      </c>
      <c r="H32" s="82">
        <v>95.4</v>
      </c>
      <c r="I32" s="82">
        <v>95</v>
      </c>
      <c r="J32" s="82">
        <v>95</v>
      </c>
      <c r="K32" s="82">
        <v>93.6</v>
      </c>
      <c r="L32" s="82">
        <v>95.8</v>
      </c>
      <c r="M32" s="82">
        <v>96.2</v>
      </c>
      <c r="N32" s="82">
        <v>95.8</v>
      </c>
      <c r="O32" s="82">
        <v>95</v>
      </c>
      <c r="P32" s="82">
        <v>96.2</v>
      </c>
      <c r="Q32" s="82">
        <v>96.5</v>
      </c>
      <c r="R32" s="82">
        <v>96.2</v>
      </c>
      <c r="S32" s="82">
        <v>95.4</v>
      </c>
    </row>
    <row r="33" spans="3:22" x14ac:dyDescent="0.25">
      <c r="C33" s="82">
        <v>200</v>
      </c>
      <c r="D33" s="82">
        <v>94.1</v>
      </c>
      <c r="E33" s="82">
        <v>94.5</v>
      </c>
      <c r="F33" s="82">
        <v>94.1</v>
      </c>
      <c r="G33" s="82">
        <v>92.5</v>
      </c>
      <c r="H33" s="82">
        <v>95.4</v>
      </c>
      <c r="I33" s="82">
        <v>95.4</v>
      </c>
      <c r="J33" s="82">
        <v>95</v>
      </c>
      <c r="K33" s="82">
        <v>93.6</v>
      </c>
      <c r="L33" s="82">
        <v>95.8</v>
      </c>
      <c r="M33" s="82">
        <v>96.2</v>
      </c>
      <c r="N33" s="82">
        <v>95.8</v>
      </c>
      <c r="O33" s="82">
        <v>95</v>
      </c>
      <c r="P33" s="82">
        <v>96.2</v>
      </c>
      <c r="Q33" s="82">
        <v>96.8</v>
      </c>
      <c r="R33" s="82">
        <v>96.5</v>
      </c>
      <c r="S33" s="82">
        <v>95.4</v>
      </c>
    </row>
    <row r="34" spans="3:22" x14ac:dyDescent="0.25">
      <c r="C34" s="82">
        <v>250</v>
      </c>
      <c r="D34" s="82">
        <v>94.1</v>
      </c>
      <c r="E34" s="82">
        <v>94.5</v>
      </c>
      <c r="F34" s="82">
        <v>94.1</v>
      </c>
      <c r="G34" s="82">
        <v>92.5</v>
      </c>
      <c r="H34" s="82">
        <v>95.4</v>
      </c>
      <c r="I34" s="82">
        <v>95.8</v>
      </c>
      <c r="J34" s="82">
        <v>95</v>
      </c>
      <c r="K34" s="82">
        <v>94.1</v>
      </c>
      <c r="L34" s="82">
        <v>95.8</v>
      </c>
      <c r="M34" s="82">
        <v>96.2</v>
      </c>
      <c r="N34" s="82">
        <v>95.8</v>
      </c>
      <c r="O34" s="82">
        <v>95</v>
      </c>
      <c r="P34" s="82">
        <v>96.2</v>
      </c>
      <c r="Q34" s="82">
        <v>96.8</v>
      </c>
      <c r="R34" s="82">
        <v>96.5</v>
      </c>
      <c r="S34" s="82">
        <v>95.8</v>
      </c>
    </row>
    <row r="35" spans="3:22" x14ac:dyDescent="0.25">
      <c r="C35" s="82">
        <v>315</v>
      </c>
      <c r="D35" s="82">
        <v>94.1</v>
      </c>
      <c r="E35" s="82">
        <v>94.5</v>
      </c>
      <c r="F35" s="82">
        <v>94.1</v>
      </c>
      <c r="H35" s="82">
        <v>95.4</v>
      </c>
      <c r="I35" s="82">
        <v>95.8</v>
      </c>
      <c r="J35" s="82">
        <v>95</v>
      </c>
      <c r="L35" s="82">
        <v>95.8</v>
      </c>
      <c r="M35" s="82">
        <v>96.2</v>
      </c>
      <c r="N35" s="82">
        <v>95.8</v>
      </c>
      <c r="P35" s="82">
        <v>96.2</v>
      </c>
      <c r="Q35" s="82">
        <v>96.8</v>
      </c>
      <c r="R35" s="82">
        <v>96.5</v>
      </c>
    </row>
    <row r="36" spans="3:22" x14ac:dyDescent="0.25">
      <c r="C36" s="82">
        <v>355</v>
      </c>
      <c r="D36" s="82">
        <v>94.1</v>
      </c>
      <c r="E36" s="82">
        <v>94.5</v>
      </c>
      <c r="H36" s="82">
        <v>95.4</v>
      </c>
      <c r="I36" s="82">
        <v>95.8</v>
      </c>
      <c r="L36" s="82">
        <v>95.8</v>
      </c>
      <c r="M36" s="82">
        <v>96.2</v>
      </c>
      <c r="P36" s="82">
        <v>96.2</v>
      </c>
      <c r="Q36" s="82">
        <v>96.8</v>
      </c>
    </row>
    <row r="37" spans="3:22" x14ac:dyDescent="0.25">
      <c r="C37" s="82">
        <v>375</v>
      </c>
      <c r="D37" s="82">
        <v>94.1</v>
      </c>
      <c r="E37" s="82">
        <v>94.5</v>
      </c>
      <c r="H37" s="82">
        <v>95.4</v>
      </c>
      <c r="I37" s="82">
        <v>95.8</v>
      </c>
      <c r="L37" s="82">
        <v>95.8</v>
      </c>
      <c r="M37" s="82">
        <v>96.2</v>
      </c>
      <c r="P37" s="82">
        <v>96.2</v>
      </c>
      <c r="Q37" s="82">
        <v>96.8</v>
      </c>
    </row>
    <row r="40" spans="3:22" ht="15.75" thickBot="1" x14ac:dyDescent="0.3">
      <c r="C40" s="100"/>
      <c r="D40" s="101"/>
      <c r="E40" s="101"/>
      <c r="F40" s="101"/>
      <c r="G40" s="101"/>
      <c r="H40" s="101"/>
      <c r="I40" s="101"/>
      <c r="J40" s="102" t="str">
        <f>IF(AND(H41="",M41=""),"TO FILL ONE POWER BOX and CHOOSE POLE AND FREQUENCY","")</f>
        <v/>
      </c>
      <c r="K40" s="103"/>
      <c r="L40" s="101"/>
      <c r="M40" s="101"/>
      <c r="N40" s="104"/>
      <c r="O40" s="101"/>
      <c r="P40" s="105"/>
      <c r="R40" s="82">
        <f>IF(AND(H55="IE1",$H$43=2),1,IF(AND(H55="IE1",$H$43=4),2,IF(AND(H55="IE1",$H$43=6),3,IF(AND(H55="IE1",$H$43=8),4,IF(AND(H55="IE2",$H$43=2),5,IF(AND(H55="IE2",$H$43=4),6,IF(AND(H55="IE2",$H$43=6),7,IF(AND(H55="IE2",$H$43=8),8,IF(AND(H55="IE3",$H$43=2),9,IF(AND(H55="IE3",$H$43=4),10,IF(AND(H55="IE3",$H$43=6),11,IF(AND(H55="IE3",$H$43=8),12,IF(AND(H55="IE4",$H$43=2),13,IF(AND(H55="IE4",$H$43=4),14,IF(AND(H55="IE4",$H$43=6),15,IF(AND(H55="IE4",$H$43=8),16))))))))))))))))</f>
        <v>1</v>
      </c>
      <c r="V40" s="82">
        <f>IF(AND(L55="IE1",$H$43=2),1,IF(AND(L55="IE1",$H$43=4),2,IF(AND(L55="IE1",$H$43=6),3,IF(AND(L55="IE1",$H$43=8),4,IF(AND(L55="IE2",$H$43=2),5,IF(AND(L55="IE2",$H$43=4),6,IF(AND(L55="IE2",$H$43=6),7,IF(AND(L55="IE2",$H$43=8),8,IF(AND(L55="IE3",$H$43=2),9,IF(AND(L55="IE3",$H$43=4),10,IF(AND(L55="IE3",$H$43=6),11,IF(AND(L55="IE3",$H$43=8),12,IF(AND(L55="IE4",$H$43=2),13,IF(AND(L55="IE4",$H$43=4),14,IF(AND(L55="IE4",$H$43=6),15,IF(AND(L55="IE4",$H$43=8),16))))))))))))))))</f>
        <v>9</v>
      </c>
    </row>
    <row r="41" spans="3:22" ht="15.75" thickBot="1" x14ac:dyDescent="0.3">
      <c r="C41" s="106"/>
      <c r="D41" s="94" t="s">
        <v>74</v>
      </c>
      <c r="E41" s="94"/>
      <c r="F41" s="94"/>
      <c r="G41" s="94"/>
      <c r="H41" s="195">
        <f>front!G17</f>
        <v>0.18</v>
      </c>
      <c r="I41" s="107" t="s">
        <v>57</v>
      </c>
      <c r="J41" s="108"/>
      <c r="K41" s="94" t="s">
        <v>95</v>
      </c>
      <c r="L41" s="94"/>
      <c r="M41" s="94"/>
      <c r="N41" s="195" t="str">
        <f>front!M17</f>
        <v>IE1</v>
      </c>
      <c r="O41" s="109"/>
      <c r="P41" s="110"/>
    </row>
    <row r="42" spans="3:22" ht="15.75" thickBot="1" x14ac:dyDescent="0.3">
      <c r="C42" s="93"/>
      <c r="D42" s="94"/>
      <c r="E42" s="94"/>
      <c r="F42" s="94"/>
      <c r="G42" s="94"/>
      <c r="H42" s="95"/>
      <c r="I42" s="94"/>
      <c r="J42" s="94"/>
      <c r="K42" s="94"/>
      <c r="L42" s="94"/>
      <c r="M42" s="94"/>
      <c r="N42" s="94"/>
      <c r="O42" s="111"/>
      <c r="P42" s="112"/>
    </row>
    <row r="43" spans="3:22" ht="15.75" thickBot="1" x14ac:dyDescent="0.3">
      <c r="C43" s="113"/>
      <c r="D43" s="94" t="s">
        <v>55</v>
      </c>
      <c r="E43" s="94"/>
      <c r="F43" s="94"/>
      <c r="G43" s="94"/>
      <c r="H43" s="196">
        <f>front!G19</f>
        <v>2</v>
      </c>
      <c r="I43" s="94"/>
      <c r="J43" s="94"/>
      <c r="K43" s="94" t="s">
        <v>96</v>
      </c>
      <c r="L43" s="94"/>
      <c r="M43" s="94"/>
      <c r="N43" s="195" t="str">
        <f>front!M19</f>
        <v>IE3</v>
      </c>
      <c r="O43" s="111"/>
      <c r="P43" s="112"/>
    </row>
    <row r="44" spans="3:22" ht="15.75" thickBot="1" x14ac:dyDescent="0.3">
      <c r="C44" s="106"/>
      <c r="D44" s="94"/>
      <c r="E44" s="94"/>
      <c r="F44" s="94"/>
      <c r="G44" s="94"/>
      <c r="H44" s="95"/>
      <c r="I44" s="94"/>
      <c r="J44" s="94"/>
      <c r="K44" s="94"/>
      <c r="L44" s="94"/>
      <c r="M44" s="94"/>
      <c r="N44" s="94"/>
      <c r="O44" s="94"/>
      <c r="P44" s="99"/>
    </row>
    <row r="45" spans="3:22" ht="15.75" thickBot="1" x14ac:dyDescent="0.3">
      <c r="C45" s="93"/>
      <c r="D45" s="94" t="s">
        <v>56</v>
      </c>
      <c r="E45" s="94"/>
      <c r="F45" s="94"/>
      <c r="G45" s="94"/>
      <c r="H45" s="196">
        <f>front!G21</f>
        <v>50</v>
      </c>
      <c r="I45" s="94" t="s">
        <v>29</v>
      </c>
      <c r="J45" s="94"/>
      <c r="K45" s="97"/>
      <c r="L45" s="94"/>
      <c r="M45" s="94"/>
      <c r="N45" s="94"/>
      <c r="O45" s="94"/>
      <c r="P45" s="99"/>
    </row>
    <row r="46" spans="3:22" x14ac:dyDescent="0.25">
      <c r="C46" s="114"/>
      <c r="D46" s="115"/>
      <c r="E46" s="115"/>
      <c r="F46" s="115"/>
      <c r="G46" s="115"/>
      <c r="H46" s="116"/>
      <c r="I46" s="115"/>
      <c r="J46" s="115"/>
      <c r="K46" s="117"/>
      <c r="L46" s="115"/>
      <c r="M46" s="115"/>
      <c r="N46" s="118"/>
      <c r="O46" s="119"/>
      <c r="P46" s="120"/>
    </row>
    <row r="47" spans="3:22" ht="15.75" thickBot="1" x14ac:dyDescent="0.3">
      <c r="C47" s="106"/>
      <c r="D47" s="94"/>
      <c r="E47" s="94"/>
      <c r="F47" s="94"/>
      <c r="G47" s="94"/>
      <c r="H47" s="94"/>
      <c r="I47" s="94"/>
      <c r="J47" s="96" t="str">
        <f>IF(AND(H48="",H49=""),"TO FILL ONE USE BOX","")</f>
        <v/>
      </c>
      <c r="K47" s="94"/>
      <c r="L47" s="94"/>
      <c r="M47" s="94"/>
      <c r="N47" s="94"/>
      <c r="O47" s="94"/>
      <c r="P47" s="99"/>
    </row>
    <row r="48" spans="3:22" ht="15.75" thickBot="1" x14ac:dyDescent="0.3">
      <c r="C48" s="93"/>
      <c r="D48" s="94" t="s">
        <v>58</v>
      </c>
      <c r="E48" s="94"/>
      <c r="F48" s="94"/>
      <c r="G48" s="94"/>
      <c r="H48" s="196">
        <f>front!G25</f>
        <v>0</v>
      </c>
      <c r="I48" s="121" t="s">
        <v>6</v>
      </c>
      <c r="J48" s="94"/>
      <c r="K48" s="122" t="s">
        <v>68</v>
      </c>
      <c r="L48" s="94"/>
      <c r="M48" s="258">
        <f>front!L25</f>
        <v>8000</v>
      </c>
      <c r="N48" s="259"/>
      <c r="O48" s="121" t="s">
        <v>7</v>
      </c>
      <c r="P48" s="99"/>
    </row>
    <row r="49" spans="3:16" x14ac:dyDescent="0.25">
      <c r="C49" s="123"/>
      <c r="D49" s="97"/>
      <c r="E49" s="97"/>
      <c r="F49" s="97"/>
      <c r="G49" s="97"/>
      <c r="H49" s="94"/>
      <c r="I49" s="121"/>
      <c r="J49" s="124"/>
      <c r="K49" s="125"/>
      <c r="L49" s="126"/>
      <c r="M49" s="126"/>
      <c r="N49" s="94"/>
      <c r="O49" s="127"/>
      <c r="P49" s="128"/>
    </row>
    <row r="50" spans="3:16" ht="15.75" thickBot="1" x14ac:dyDescent="0.3">
      <c r="C50" s="129"/>
      <c r="D50" s="103"/>
      <c r="E50" s="103"/>
      <c r="F50" s="103"/>
      <c r="G50" s="103"/>
      <c r="H50" s="130"/>
      <c r="I50" s="131"/>
      <c r="J50" s="132" t="str">
        <f>IF(H51="","TO FILL  ENERGY COST","")</f>
        <v/>
      </c>
      <c r="K50" s="133"/>
      <c r="L50" s="103"/>
      <c r="M50" s="103"/>
      <c r="N50" s="101"/>
      <c r="O50" s="133"/>
      <c r="P50" s="134"/>
    </row>
    <row r="51" spans="3:16" ht="15.75" thickBot="1" x14ac:dyDescent="0.3">
      <c r="C51" s="123"/>
      <c r="D51" s="94" t="s">
        <v>2</v>
      </c>
      <c r="E51" s="97"/>
      <c r="F51" s="97"/>
      <c r="G51" s="97"/>
      <c r="H51" s="196">
        <f>front!G28</f>
        <v>0.15</v>
      </c>
      <c r="I51" s="135" t="s">
        <v>59</v>
      </c>
      <c r="J51" s="127"/>
      <c r="K51" s="125"/>
      <c r="L51" s="97"/>
      <c r="M51" s="97"/>
      <c r="N51" s="94"/>
      <c r="O51" s="125"/>
      <c r="P51" s="136"/>
    </row>
    <row r="52" spans="3:16" x14ac:dyDescent="0.25">
      <c r="C52" s="123"/>
      <c r="D52" s="97"/>
      <c r="E52" s="97"/>
      <c r="F52" s="97"/>
      <c r="G52" s="97"/>
      <c r="H52" s="137"/>
      <c r="I52" s="127"/>
      <c r="J52" s="127"/>
      <c r="K52" s="125"/>
      <c r="L52" s="97"/>
      <c r="M52" s="97"/>
      <c r="N52" s="94"/>
      <c r="O52" s="125"/>
      <c r="P52" s="136"/>
    </row>
    <row r="53" spans="3:16" x14ac:dyDescent="0.25">
      <c r="C53" s="203" t="s">
        <v>60</v>
      </c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5"/>
    </row>
    <row r="54" spans="3:16" x14ac:dyDescent="0.25">
      <c r="C54" s="123"/>
      <c r="D54" s="126"/>
      <c r="E54" s="126"/>
      <c r="F54" s="126"/>
      <c r="G54" s="126"/>
      <c r="H54" s="138"/>
      <c r="I54" s="139"/>
      <c r="J54" s="127"/>
      <c r="K54" s="125"/>
      <c r="L54" s="97"/>
      <c r="M54" s="97"/>
      <c r="N54" s="94"/>
      <c r="O54" s="125"/>
      <c r="P54" s="136"/>
    </row>
    <row r="55" spans="3:16" x14ac:dyDescent="0.25">
      <c r="C55" s="123"/>
      <c r="D55" s="97"/>
      <c r="E55" s="97"/>
      <c r="F55" s="97"/>
      <c r="G55" s="97"/>
      <c r="H55" s="224" t="str">
        <f>front!G32</f>
        <v>IE1</v>
      </c>
      <c r="I55" s="224"/>
      <c r="J55" s="224"/>
      <c r="K55" s="137"/>
      <c r="L55" s="225" t="str">
        <f>front!K32</f>
        <v>IE3</v>
      </c>
      <c r="M55" s="225"/>
      <c r="N55" s="225"/>
      <c r="O55" s="125"/>
      <c r="P55" s="136"/>
    </row>
  </sheetData>
  <sheetProtection algorithmName="SHA-512" hashValue="DOVeXwKi6yE39OpQ9sJeFu21qPUdMM3CT7tFx2dRXsNljYirF1xYphEZKLYvFYuOKOonZ28yb1AzZvMrVtbz1A==" saltValue="lI7Cq1IY7O9Qi/0+NoGy6Q==" spinCount="100000" sheet="1" objects="1" scenarios="1" selectLockedCells="1" selectUnlockedCells="1"/>
  <mergeCells count="4">
    <mergeCell ref="M48:N48"/>
    <mergeCell ref="C53:P53"/>
    <mergeCell ref="H55:J55"/>
    <mergeCell ref="L55:N5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front</vt:lpstr>
      <vt:lpstr>calcoli</vt:lpstr>
      <vt:lpstr>Calcoli Grafici</vt:lpstr>
      <vt:lpstr>50HZ</vt:lpstr>
      <vt:lpstr>60HZ</vt:lpstr>
      <vt:lpstr>front!Area_stampa</vt:lpstr>
      <vt:lpstr>ENERGY</vt:lpstr>
      <vt:lpstr>POLES</vt:lpstr>
      <vt:lpstr>POWER</vt:lpstr>
      <vt:lpstr>POWER60</vt:lpstr>
    </vt:vector>
  </TitlesOfParts>
  <Company>Cemp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Bongermino</dc:creator>
  <cp:lastModifiedBy>Gianluca Cardella</cp:lastModifiedBy>
  <cp:lastPrinted>2017-02-16T08:43:56Z</cp:lastPrinted>
  <dcterms:created xsi:type="dcterms:W3CDTF">2012-09-19T15:27:42Z</dcterms:created>
  <dcterms:modified xsi:type="dcterms:W3CDTF">2022-02-15T08:30:22Z</dcterms:modified>
</cp:coreProperties>
</file>